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70" yWindow="585" windowWidth="13950" windowHeight="8805" activeTab="2"/>
  </bookViews>
  <sheets>
    <sheet name="ССР 2000" sheetId="18" r:id="rId1"/>
    <sheet name="ССР в т.ц." sheetId="17" r:id="rId2"/>
    <sheet name="от ССР_Форма 1" sheetId="11" r:id="rId3"/>
    <sheet name="НМЦ лота СМР " sheetId="16" r:id="rId4"/>
  </sheets>
  <definedNames>
    <definedName name="_xlnm.Print_Area" localSheetId="3">'НМЦ лота СМР '!$A$1:$H$55</definedName>
    <definedName name="_xlnm.Print_Area" localSheetId="2">'от ССР_Форма 1'!$A$1:$R$52</definedName>
  </definedNames>
  <calcPr calcId="152511"/>
</workbook>
</file>

<file path=xl/calcChain.xml><?xml version="1.0" encoding="utf-8"?>
<calcChain xmlns="http://schemas.openxmlformats.org/spreadsheetml/2006/main">
  <c r="H43" i="16" l="1"/>
  <c r="G41" i="16"/>
  <c r="F41" i="16"/>
  <c r="D41" i="16"/>
  <c r="E41" i="16"/>
  <c r="D14" i="11"/>
  <c r="D23" i="17"/>
  <c r="G14" i="11"/>
  <c r="F14" i="11"/>
  <c r="E14" i="11"/>
  <c r="Q14" i="11"/>
  <c r="P14" i="11"/>
  <c r="O14" i="11"/>
  <c r="N14" i="11"/>
  <c r="G33" i="11"/>
  <c r="L33" i="11"/>
  <c r="L24" i="11"/>
  <c r="G24" i="11"/>
  <c r="H20" i="18"/>
  <c r="G21" i="18"/>
  <c r="H21" i="18"/>
  <c r="J21" i="18"/>
  <c r="D23" i="18"/>
  <c r="H23" i="18"/>
  <c r="E24" i="18"/>
  <c r="F24" i="18"/>
  <c r="G24" i="18"/>
  <c r="E25" i="18"/>
  <c r="E29" i="18"/>
  <c r="E35" i="18"/>
  <c r="E40" i="18"/>
  <c r="F25" i="18"/>
  <c r="F29" i="18"/>
  <c r="F35" i="18"/>
  <c r="F40" i="18"/>
  <c r="G25" i="18"/>
  <c r="G29" i="18"/>
  <c r="E28" i="18"/>
  <c r="F28" i="18"/>
  <c r="G28" i="18"/>
  <c r="G33" i="18"/>
  <c r="H33" i="18"/>
  <c r="E34" i="18"/>
  <c r="F34" i="18"/>
  <c r="G42" i="18"/>
  <c r="H42" i="18"/>
  <c r="H43" i="18"/>
  <c r="G43" i="18"/>
  <c r="J43" i="18"/>
  <c r="E48" i="18"/>
  <c r="F48" i="18"/>
  <c r="F52" i="18"/>
  <c r="E52" i="18"/>
  <c r="H20" i="17"/>
  <c r="G21" i="17"/>
  <c r="H21" i="17"/>
  <c r="J21" i="17"/>
  <c r="H23" i="17"/>
  <c r="D24" i="17"/>
  <c r="D25" i="17"/>
  <c r="E24" i="17"/>
  <c r="F24" i="17"/>
  <c r="G24" i="17"/>
  <c r="J24" i="17"/>
  <c r="E25" i="17"/>
  <c r="F25" i="17"/>
  <c r="G25" i="17"/>
  <c r="E28" i="17"/>
  <c r="F28" i="17"/>
  <c r="G28" i="17"/>
  <c r="F29" i="17"/>
  <c r="F35" i="17"/>
  <c r="F40" i="17"/>
  <c r="G33" i="17"/>
  <c r="H33" i="17"/>
  <c r="E34" i="17"/>
  <c r="F34" i="17"/>
  <c r="G42" i="17"/>
  <c r="H42" i="17"/>
  <c r="H43" i="17"/>
  <c r="G43" i="17"/>
  <c r="J43" i="17"/>
  <c r="E48" i="17"/>
  <c r="F48" i="17"/>
  <c r="F52" i="17"/>
  <c r="E52" i="17"/>
  <c r="G29" i="17"/>
  <c r="D24" i="18"/>
  <c r="H25" i="17"/>
  <c r="D27" i="17"/>
  <c r="H24" i="17"/>
  <c r="E29" i="17"/>
  <c r="G33" i="16"/>
  <c r="D15" i="16"/>
  <c r="D27" i="18"/>
  <c r="J24" i="18"/>
  <c r="D25" i="18"/>
  <c r="H24" i="18"/>
  <c r="H27" i="17"/>
  <c r="D28" i="17"/>
  <c r="E35" i="17"/>
  <c r="E40" i="17"/>
  <c r="F34" i="16"/>
  <c r="H33" i="16"/>
  <c r="G34" i="16"/>
  <c r="H27" i="16"/>
  <c r="H26" i="16"/>
  <c r="G20" i="16"/>
  <c r="F20" i="16"/>
  <c r="F35" i="16"/>
  <c r="E20" i="16"/>
  <c r="H15" i="16"/>
  <c r="H20" i="16"/>
  <c r="P34" i="11"/>
  <c r="O34" i="11"/>
  <c r="N34" i="11"/>
  <c r="K34" i="11"/>
  <c r="J34" i="11"/>
  <c r="I34" i="11"/>
  <c r="F34" i="11"/>
  <c r="E34" i="11"/>
  <c r="D34" i="11"/>
  <c r="M33" i="11"/>
  <c r="G34" i="11"/>
  <c r="P30" i="11"/>
  <c r="O30" i="11"/>
  <c r="N30" i="11"/>
  <c r="K30" i="11"/>
  <c r="J30" i="11"/>
  <c r="I30" i="11"/>
  <c r="F30" i="11"/>
  <c r="E30" i="11"/>
  <c r="D30" i="11"/>
  <c r="P25" i="11"/>
  <c r="K25" i="11"/>
  <c r="F25" i="11"/>
  <c r="H24" i="11"/>
  <c r="G15" i="11"/>
  <c r="G12" i="11"/>
  <c r="F15" i="11"/>
  <c r="F16" i="11"/>
  <c r="E15" i="11"/>
  <c r="E16" i="11"/>
  <c r="D15" i="11"/>
  <c r="H15" i="11"/>
  <c r="L15" i="11"/>
  <c r="L16" i="11"/>
  <c r="K15" i="11"/>
  <c r="K16" i="11"/>
  <c r="J15" i="11"/>
  <c r="J16" i="11"/>
  <c r="M14" i="11"/>
  <c r="H14" i="11"/>
  <c r="L12" i="11"/>
  <c r="Q12" i="11"/>
  <c r="K12" i="11"/>
  <c r="P12" i="11"/>
  <c r="J12" i="11"/>
  <c r="O12" i="11"/>
  <c r="I12" i="11"/>
  <c r="F12" i="11"/>
  <c r="E12" i="11"/>
  <c r="D12" i="11"/>
  <c r="E28" i="16"/>
  <c r="N12" i="11"/>
  <c r="R12" i="11"/>
  <c r="H25" i="18"/>
  <c r="G35" i="16"/>
  <c r="H27" i="18"/>
  <c r="D28" i="18"/>
  <c r="D29" i="18"/>
  <c r="J28" i="17"/>
  <c r="H28" i="17"/>
  <c r="D29" i="17"/>
  <c r="H12" i="11"/>
  <c r="G16" i="11"/>
  <c r="G18" i="11"/>
  <c r="G19" i="11"/>
  <c r="G20" i="11"/>
  <c r="F36" i="16"/>
  <c r="F37" i="16"/>
  <c r="D20" i="16"/>
  <c r="E29" i="16"/>
  <c r="K18" i="11"/>
  <c r="K19" i="11"/>
  <c r="K20" i="11"/>
  <c r="K26" i="11"/>
  <c r="K31" i="11"/>
  <c r="K35" i="11"/>
  <c r="F18" i="11"/>
  <c r="F19" i="11"/>
  <c r="F20" i="11"/>
  <c r="F26" i="11"/>
  <c r="F31" i="11"/>
  <c r="F35" i="11"/>
  <c r="Q24" i="11"/>
  <c r="R24" i="11"/>
  <c r="M24" i="11"/>
  <c r="J18" i="11"/>
  <c r="J19" i="11"/>
  <c r="J20" i="11"/>
  <c r="L18" i="11"/>
  <c r="L19" i="11"/>
  <c r="L20" i="11"/>
  <c r="E18" i="11"/>
  <c r="E19" i="11"/>
  <c r="E20" i="11"/>
  <c r="M12" i="11"/>
  <c r="P15" i="11"/>
  <c r="P16" i="11"/>
  <c r="I15" i="11"/>
  <c r="D16" i="11"/>
  <c r="H34" i="11"/>
  <c r="O15" i="11"/>
  <c r="O16" i="11"/>
  <c r="Q15" i="11"/>
  <c r="Q16" i="11"/>
  <c r="Q33" i="11"/>
  <c r="L34" i="11"/>
  <c r="M34" i="11"/>
  <c r="H33" i="11"/>
  <c r="H29" i="18"/>
  <c r="D31" i="18"/>
  <c r="E31" i="16"/>
  <c r="E34" i="16"/>
  <c r="E35" i="16"/>
  <c r="F40" i="16"/>
  <c r="F42" i="16"/>
  <c r="F45" i="16"/>
  <c r="F46" i="16"/>
  <c r="J28" i="18"/>
  <c r="H28" i="18"/>
  <c r="D31" i="17"/>
  <c r="H29" i="17"/>
  <c r="D28" i="16"/>
  <c r="D29" i="16"/>
  <c r="D31" i="16"/>
  <c r="H28" i="16"/>
  <c r="G36" i="16"/>
  <c r="G37" i="16"/>
  <c r="F37" i="11"/>
  <c r="F38" i="11"/>
  <c r="F39" i="11"/>
  <c r="F42" i="11"/>
  <c r="E22" i="11"/>
  <c r="E25" i="11"/>
  <c r="E26" i="11"/>
  <c r="E31" i="11"/>
  <c r="E35" i="11"/>
  <c r="J22" i="11"/>
  <c r="J25" i="11"/>
  <c r="J26" i="11"/>
  <c r="J31" i="11"/>
  <c r="J35" i="11"/>
  <c r="K37" i="11"/>
  <c r="K38" i="11"/>
  <c r="K39" i="11"/>
  <c r="Q34" i="11"/>
  <c r="R34" i="11"/>
  <c r="R33" i="11"/>
  <c r="Q18" i="11"/>
  <c r="Q19" i="11"/>
  <c r="Q20" i="11"/>
  <c r="I16" i="11"/>
  <c r="M15" i="11"/>
  <c r="N15" i="11"/>
  <c r="R14" i="11"/>
  <c r="O18" i="11"/>
  <c r="O19" i="11"/>
  <c r="O20" i="11"/>
  <c r="D18" i="11"/>
  <c r="H16" i="11"/>
  <c r="P18" i="11"/>
  <c r="P19" i="11"/>
  <c r="P20" i="11"/>
  <c r="P26" i="11"/>
  <c r="P31" i="11"/>
  <c r="P35" i="11"/>
  <c r="H31" i="18"/>
  <c r="D34" i="18"/>
  <c r="D35" i="18"/>
  <c r="G40" i="16"/>
  <c r="G42" i="16"/>
  <c r="G45" i="16"/>
  <c r="G46" i="16"/>
  <c r="D34" i="17"/>
  <c r="D35" i="17"/>
  <c r="D40" i="17"/>
  <c r="H31" i="17"/>
  <c r="H31" i="16"/>
  <c r="H29" i="16"/>
  <c r="E36" i="16"/>
  <c r="E37" i="16"/>
  <c r="O22" i="11"/>
  <c r="O25" i="11"/>
  <c r="O26" i="11"/>
  <c r="O31" i="11"/>
  <c r="O35" i="11"/>
  <c r="E37" i="11"/>
  <c r="E38" i="11"/>
  <c r="E39" i="11"/>
  <c r="E42" i="11"/>
  <c r="J37" i="11"/>
  <c r="J38" i="11"/>
  <c r="J39" i="11"/>
  <c r="F43" i="11"/>
  <c r="F44" i="11"/>
  <c r="P37" i="11"/>
  <c r="P38" i="11"/>
  <c r="P39" i="11"/>
  <c r="H18" i="11"/>
  <c r="D19" i="11"/>
  <c r="R15" i="11"/>
  <c r="N16" i="11"/>
  <c r="M16" i="11"/>
  <c r="I18" i="11"/>
  <c r="E40" i="16"/>
  <c r="E42" i="16"/>
  <c r="E45" i="16"/>
  <c r="E46" i="16"/>
  <c r="P40" i="11"/>
  <c r="P42" i="11"/>
  <c r="P43" i="11"/>
  <c r="P44" i="11"/>
  <c r="D40" i="18"/>
  <c r="G32" i="17"/>
  <c r="D44" i="17"/>
  <c r="D46" i="17"/>
  <c r="D47" i="17"/>
  <c r="H32" i="16"/>
  <c r="D34" i="16"/>
  <c r="D35" i="16"/>
  <c r="D36" i="16"/>
  <c r="E43" i="11"/>
  <c r="E44" i="11"/>
  <c r="O37" i="11"/>
  <c r="O38" i="11"/>
  <c r="O39" i="11"/>
  <c r="I19" i="11"/>
  <c r="M18" i="11"/>
  <c r="N18" i="11"/>
  <c r="R16" i="11"/>
  <c r="H19" i="11"/>
  <c r="D20" i="11"/>
  <c r="O40" i="11"/>
  <c r="O42" i="11"/>
  <c r="O43" i="11"/>
  <c r="O44" i="11"/>
  <c r="G32" i="18"/>
  <c r="D44" i="18"/>
  <c r="D48" i="17"/>
  <c r="D50" i="17"/>
  <c r="H32" i="17"/>
  <c r="H34" i="17"/>
  <c r="G34" i="17"/>
  <c r="G35" i="17"/>
  <c r="H35" i="17"/>
  <c r="H34" i="16"/>
  <c r="R18" i="11"/>
  <c r="N19" i="11"/>
  <c r="H20" i="11"/>
  <c r="D22" i="11"/>
  <c r="M19" i="11"/>
  <c r="I20" i="11"/>
  <c r="H32" i="18"/>
  <c r="H34" i="18"/>
  <c r="G34" i="18"/>
  <c r="G35" i="18"/>
  <c r="D46" i="18"/>
  <c r="D47" i="18"/>
  <c r="D48" i="18"/>
  <c r="G37" i="17"/>
  <c r="G38" i="17"/>
  <c r="H38" i="17"/>
  <c r="D51" i="17"/>
  <c r="D52" i="17"/>
  <c r="H35" i="16"/>
  <c r="H36" i="16"/>
  <c r="R19" i="11"/>
  <c r="N20" i="11"/>
  <c r="I22" i="11"/>
  <c r="M20" i="11"/>
  <c r="D25" i="11"/>
  <c r="H22" i="11"/>
  <c r="D50" i="18"/>
  <c r="D51" i="18"/>
  <c r="D52" i="18"/>
  <c r="H35" i="18"/>
  <c r="G39" i="17"/>
  <c r="H37" i="17"/>
  <c r="D37" i="16"/>
  <c r="D40" i="16"/>
  <c r="D26" i="11"/>
  <c r="I25" i="11"/>
  <c r="M22" i="11"/>
  <c r="R20" i="11"/>
  <c r="N22" i="11"/>
  <c r="G37" i="18"/>
  <c r="G38" i="18"/>
  <c r="H38" i="18"/>
  <c r="H39" i="17"/>
  <c r="G40" i="17"/>
  <c r="H37" i="16"/>
  <c r="D31" i="11"/>
  <c r="N25" i="11"/>
  <c r="R22" i="11"/>
  <c r="I26" i="11"/>
  <c r="H37" i="18"/>
  <c r="G39" i="18"/>
  <c r="H40" i="17"/>
  <c r="G44" i="17"/>
  <c r="D42" i="16"/>
  <c r="H40" i="16"/>
  <c r="I31" i="11"/>
  <c r="N26" i="11"/>
  <c r="D35" i="11"/>
  <c r="G23" i="11"/>
  <c r="H39" i="18"/>
  <c r="G40" i="18"/>
  <c r="G46" i="17"/>
  <c r="H44" i="17"/>
  <c r="H42" i="16"/>
  <c r="H44" i="16"/>
  <c r="Q48" i="11"/>
  <c r="U49" i="11"/>
  <c r="D45" i="16"/>
  <c r="H45" i="16"/>
  <c r="N31" i="11"/>
  <c r="G25" i="11"/>
  <c r="H23" i="11"/>
  <c r="D37" i="11"/>
  <c r="I35" i="11"/>
  <c r="L23" i="11"/>
  <c r="G44" i="18"/>
  <c r="H40" i="18"/>
  <c r="G47" i="17"/>
  <c r="G48" i="17"/>
  <c r="H46" i="17"/>
  <c r="J42" i="16"/>
  <c r="D46" i="16"/>
  <c r="H46" i="16"/>
  <c r="L25" i="11"/>
  <c r="M23" i="11"/>
  <c r="I37" i="11"/>
  <c r="D38" i="11"/>
  <c r="G26" i="11"/>
  <c r="H25" i="11"/>
  <c r="N35" i="11"/>
  <c r="Q23" i="11"/>
  <c r="G46" i="18"/>
  <c r="H44" i="18"/>
  <c r="H47" i="17"/>
  <c r="Q25" i="11"/>
  <c r="R23" i="11"/>
  <c r="N37" i="11"/>
  <c r="H26" i="11"/>
  <c r="D39" i="11"/>
  <c r="I38" i="11"/>
  <c r="L26" i="11"/>
  <c r="M25" i="11"/>
  <c r="I39" i="11"/>
  <c r="H46" i="18"/>
  <c r="G47" i="18"/>
  <c r="G50" i="17"/>
  <c r="H48" i="17"/>
  <c r="D4" i="17"/>
  <c r="M26" i="11"/>
  <c r="D42" i="11"/>
  <c r="G29" i="11"/>
  <c r="H29" i="11"/>
  <c r="G28" i="11"/>
  <c r="N38" i="11"/>
  <c r="Q26" i="11"/>
  <c r="R25" i="11"/>
  <c r="H47" i="18"/>
  <c r="G48" i="18"/>
  <c r="G51" i="17"/>
  <c r="H51" i="17"/>
  <c r="H50" i="17"/>
  <c r="G52" i="17"/>
  <c r="H52" i="17"/>
  <c r="G30" i="11"/>
  <c r="H28" i="11"/>
  <c r="L29" i="11"/>
  <c r="M29" i="11"/>
  <c r="L28" i="11"/>
  <c r="R26" i="11"/>
  <c r="N39" i="11"/>
  <c r="D43" i="11"/>
  <c r="D44" i="11"/>
  <c r="N40" i="11"/>
  <c r="N42" i="11"/>
  <c r="H48" i="18"/>
  <c r="D4" i="18"/>
  <c r="G50" i="18"/>
  <c r="G52" i="18"/>
  <c r="H52" i="18"/>
  <c r="Q29" i="11"/>
  <c r="R29" i="11"/>
  <c r="Q28" i="11"/>
  <c r="M28" i="11"/>
  <c r="L30" i="11"/>
  <c r="H30" i="11"/>
  <c r="G31" i="11"/>
  <c r="G51" i="18"/>
  <c r="H51" i="18"/>
  <c r="H50" i="18"/>
  <c r="G35" i="11"/>
  <c r="H31" i="11"/>
  <c r="M30" i="11"/>
  <c r="L31" i="11"/>
  <c r="Q30" i="11"/>
  <c r="R28" i="11"/>
  <c r="L35" i="11"/>
  <c r="M31" i="11"/>
  <c r="N43" i="11"/>
  <c r="R30" i="11"/>
  <c r="Q31" i="11"/>
  <c r="G37" i="11"/>
  <c r="H35" i="11"/>
  <c r="G38" i="11"/>
  <c r="G39" i="11"/>
  <c r="H37" i="11"/>
  <c r="Q35" i="11"/>
  <c r="Q37" i="11"/>
  <c r="R31" i="11"/>
  <c r="N44" i="11"/>
  <c r="L37" i="11"/>
  <c r="M37" i="11"/>
  <c r="M35" i="11"/>
  <c r="L38" i="11"/>
  <c r="R35" i="11"/>
  <c r="H38" i="11"/>
  <c r="M38" i="11"/>
  <c r="L39" i="11"/>
  <c r="G42" i="11"/>
  <c r="H39" i="11"/>
  <c r="Q46" i="11"/>
  <c r="Q38" i="11"/>
  <c r="R37" i="11"/>
  <c r="M39" i="11"/>
  <c r="R38" i="11"/>
  <c r="Q39" i="11"/>
  <c r="G43" i="11"/>
  <c r="H43" i="11"/>
  <c r="H42" i="11"/>
  <c r="Q40" i="11"/>
  <c r="Q42" i="11"/>
  <c r="R39" i="11"/>
  <c r="G44" i="11"/>
  <c r="H44" i="11"/>
  <c r="R40" i="11"/>
  <c r="Q47" i="11"/>
  <c r="Q43" i="11"/>
  <c r="R43" i="11"/>
  <c r="R42" i="11"/>
  <c r="Q49" i="11"/>
  <c r="V49" i="11"/>
  <c r="Q44" i="11"/>
  <c r="R44" i="11"/>
</calcChain>
</file>

<file path=xl/sharedStrings.xml><?xml version="1.0" encoding="utf-8"?>
<sst xmlns="http://schemas.openxmlformats.org/spreadsheetml/2006/main" count="296" uniqueCount="151">
  <si>
    <t>строительных работ</t>
  </si>
  <si>
    <t>монтажных работ</t>
  </si>
  <si>
    <t>оборудова-
ния, мебели и инвентаря</t>
  </si>
  <si>
    <t>прочих затрат</t>
  </si>
  <si>
    <t>ИТОГО ПО ГЛАВАМ 1- 9</t>
  </si>
  <si>
    <t>ИТОГО</t>
  </si>
  <si>
    <t>Номера смет и расчетов</t>
  </si>
  <si>
    <t>Наименование работ и затрат</t>
  </si>
  <si>
    <t>Общая сметная стоимость</t>
  </si>
  <si>
    <t>Глава 9. Прочие работы и затраты</t>
  </si>
  <si>
    <t>ИТОГО ПО ГЛАВЕ 9</t>
  </si>
  <si>
    <t>Глава 10.Содержание службы заказчика.Строительный контроль.</t>
  </si>
  <si>
    <t>ИТОГО ПО ГЛАВЕ 10</t>
  </si>
  <si>
    <t>ИТОГО ПО ГЛАВЕ 12</t>
  </si>
  <si>
    <t>ВСЕГО БЕЗ НДС</t>
  </si>
  <si>
    <t>ИТОГО ПО СВОДНОМ СМЕТНОМУ РАСЧЕТУ</t>
  </si>
  <si>
    <t/>
  </si>
  <si>
    <t>№
п/п</t>
  </si>
  <si>
    <t>ИТОГО ПО ГЛАВАМ 1- 10</t>
  </si>
  <si>
    <t>ИТОГО ПО ГЛАВАМ 1- 12</t>
  </si>
  <si>
    <t>"УТВЕРЖДАЮ"</t>
  </si>
  <si>
    <t>Глава 8. Временные здания и сооружения</t>
  </si>
  <si>
    <t>ИТОГО ПО ГЛАВЕ 8</t>
  </si>
  <si>
    <t>"СОГЛАСОВАНО"</t>
  </si>
  <si>
    <t>ТЫС. РУБЛЕЙ без НДС</t>
  </si>
  <si>
    <t>БЛОК 2
Сметная стоимость строительства  
в ценах на 01.01.2000 года</t>
  </si>
  <si>
    <t>Начальник управления капитального строительства</t>
  </si>
  <si>
    <t>от УКС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</si>
  <si>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</si>
  <si>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</si>
  <si>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</si>
  <si>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Глава 1. Подготовка территории строительства</t>
  </si>
  <si>
    <t>Глава 5. Объекты транспортного хозяйства и связи</t>
  </si>
  <si>
    <t>Глава 6. Наружные сети и сооружения водоснабжения, канализации, теплоснабжения и газоснабжения</t>
  </si>
  <si>
    <t>ГСН 81-05-01-2001</t>
  </si>
  <si>
    <t>Средства на возведение, разборку временных зданий и сооружений, %=2</t>
  </si>
  <si>
    <t>Всего по сводной таблице в текущих (прогнозных) ценах с учетом снижения затрат, с НДС</t>
  </si>
  <si>
    <t xml:space="preserve"> </t>
  </si>
  <si>
    <t>ИТОГО ПО ГЛАВЕ 1</t>
  </si>
  <si>
    <t>Плановая стоимость объекта в прогнозных ценах года окончания строительства</t>
  </si>
  <si>
    <t xml:space="preserve">Проверил:     Начальник ОКС                                                       А.А.Попов                         </t>
  </si>
  <si>
    <t xml:space="preserve">Проверил:     Начальник ОКС                                                       А.А.Попов                     </t>
  </si>
  <si>
    <t>МДС81-35.2004</t>
  </si>
  <si>
    <t>Л.с. 08-01</t>
  </si>
  <si>
    <t>Временная ВЛЗ-10кв</t>
  </si>
  <si>
    <t xml:space="preserve">       </t>
  </si>
  <si>
    <t>Составлен в базисных ценах 2001 года с пересчетом в текущие цены на 2019 год</t>
  </si>
  <si>
    <t>_______________________ /А.А. Воронов</t>
  </si>
  <si>
    <t>Начальник управления капитального строительства                                                     А.А. Воронов</t>
  </si>
  <si>
    <t>Пост.от 21.06.2010 №468</t>
  </si>
  <si>
    <t>Строительный контроль-2.14 %</t>
  </si>
  <si>
    <t>НДС 20%</t>
  </si>
  <si>
    <t xml:space="preserve">ГСН 81-05-02-2007 прил.1,тб.4 п.2,6 </t>
  </si>
  <si>
    <t>Непредвиденные работы и затраты  1,5%</t>
  </si>
  <si>
    <t>БЛОК 1
Утвержденная сметная стоимость  строительства объекта  (в ценах 2 кв.2019 г.)</t>
  </si>
  <si>
    <t>Глава 2. Основные объекты строительства</t>
  </si>
  <si>
    <t>ЛС 02-01.15</t>
  </si>
  <si>
    <t>ИТОГО ПО ГЛАВЕ 2</t>
  </si>
  <si>
    <t>ИТОГО ПО ГЛАВЕ 1-2</t>
  </si>
  <si>
    <t>ГСН 81-05-01-2001 п.2.5</t>
  </si>
  <si>
    <t>Временные здания и сооружения, воздушные линии электропередачи 35 кВ и выше- 3,3%х0,8=2,64%</t>
  </si>
  <si>
    <t>ИТОГО ПО ГЛАВЕ 1- 8</t>
  </si>
  <si>
    <t>Производство работ в зимнее время - 1,3*1,1=1,43%</t>
  </si>
  <si>
    <t>Письмо Минтруда и Минстроя России от 12.08.92г. №1636-РБ/7-26/149</t>
  </si>
  <si>
    <t>Затраты, связанные с премированием за ввод в действие построенных объектов  2,92%</t>
  </si>
  <si>
    <t>РАСЧЕТ 1/15</t>
  </si>
  <si>
    <t xml:space="preserve">Затраты по перебазировке техники  </t>
  </si>
  <si>
    <t>Приказ филиала  ПАО "МРСК С-З" "Комиэнерго"  №182 от 19.04.2018</t>
  </si>
  <si>
    <t xml:space="preserve">Содержание службы заказчика - застройщика , за исключением строительного контроля -3,73% </t>
  </si>
  <si>
    <t>Глава 12. Публичный технологический и ценовой аудит, проектные и изыскательские работы</t>
  </si>
  <si>
    <t>МДС81-35.2004  п.4.96</t>
  </si>
  <si>
    <t>Непредвиденные затраты для объектов производственного назначения - 3%</t>
  </si>
  <si>
    <t>'Итого "Непредвиденные затраты"</t>
  </si>
  <si>
    <t>Итого с учетом "Непредвиденные затраты"</t>
  </si>
  <si>
    <t>Утвержденная сметная стоимость в ценах 2 кв.2019 года</t>
  </si>
  <si>
    <t>Заказчик</t>
  </si>
  <si>
    <t>ПАО "МРСК Северо-Запада"</t>
  </si>
  <si>
    <t>(наименование организации)</t>
  </si>
  <si>
    <t>"УТВЕРЖДЕН" "_____ "  ________________2019 г</t>
  </si>
  <si>
    <t xml:space="preserve">Сводный сметный расчет в сумме     </t>
  </si>
  <si>
    <t xml:space="preserve">тыс. руб. без НДС </t>
  </si>
  <si>
    <t>(ссылка на документ об утверждении)</t>
  </si>
  <si>
    <t>"_____"_____________2019 г.</t>
  </si>
  <si>
    <t>СВОДНЫЙ СМЕТНЫЙ РАСЧЕТ СТОИМОСТИ СТРОИТЕЛЬСТВА</t>
  </si>
  <si>
    <t>(наименование стройки)</t>
  </si>
  <si>
    <t>Составлена  в базисных ценах 2000г</t>
  </si>
  <si>
    <t>№ пп</t>
  </si>
  <si>
    <t>Общая сметная стоимость, тыс. руб.</t>
  </si>
  <si>
    <t>строитель-
ных работ</t>
  </si>
  <si>
    <t>оборудования, мебели, инвентаря</t>
  </si>
  <si>
    <t>прочих</t>
  </si>
  <si>
    <t>Итого по Главе 1</t>
  </si>
  <si>
    <t>Итого по Главе 2</t>
  </si>
  <si>
    <t>Итого по Главам 1-2</t>
  </si>
  <si>
    <t>ГСН-81-05-01-2001 п.2.5</t>
  </si>
  <si>
    <t>Итого по Главе 8</t>
  </si>
  <si>
    <t>Итого по Главам 1-8</t>
  </si>
  <si>
    <t>ГСН81-05-02-2001 табл.4, п.2.6</t>
  </si>
  <si>
    <t xml:space="preserve">Затраты при производстве работ в зимнее время 1,3*1,1=1,43% </t>
  </si>
  <si>
    <t>Итого по главе 9</t>
  </si>
  <si>
    <t>Итого по главам 1-9</t>
  </si>
  <si>
    <t>Глава 10. Содержание службы заказчика. Строительный контроль</t>
  </si>
  <si>
    <t>Приказ Филиала ПАО "МРСК Северо-Запада" "Комиэнерго" №182 от 19.04.2018</t>
  </si>
  <si>
    <t>Содержание службы заказчика-застройщика, за исключением строительного контроля (3,73% от глав 1-9 и главы 12)</t>
  </si>
  <si>
    <t>Постановление Правительства РФ от 21.06.2010 №468 "О порядке проведения строительного контроля при осуществлении строительства, реконструкции и капитального ремонта объектов капитального строительства"</t>
  </si>
  <si>
    <t>Строительный контроль (2,14% от глав 1-9)</t>
  </si>
  <si>
    <t>Итого по Главе 10</t>
  </si>
  <si>
    <t>Итого по Главам 1-10</t>
  </si>
  <si>
    <t>Итого по Главе 12</t>
  </si>
  <si>
    <t>Итого по Главам 1-12</t>
  </si>
  <si>
    <t>Непредвиденные затраты</t>
  </si>
  <si>
    <t>МДС 81-35.2004 п.4.96</t>
  </si>
  <si>
    <t>Итого "Непредвиденные затраты"</t>
  </si>
  <si>
    <t>Налоги и обязательные платежи</t>
  </si>
  <si>
    <t>МДС 81-35.2004 п.4.100</t>
  </si>
  <si>
    <t>НДС - 20%</t>
  </si>
  <si>
    <t>Итого Налоги</t>
  </si>
  <si>
    <t>ИТОГО  с НДС</t>
  </si>
  <si>
    <t>Руководитель проектной организации: Генеральный директор АО «Энергосервис Северо-Запада»                                                                    Охотин В.Г.</t>
  </si>
  <si>
    <t>(должность, подпись, расшифровка)</t>
  </si>
  <si>
    <t>Главный инженер  АО «Энергосервис Северо-Запада»                                                                                                                                                 Будовский Е.В.</t>
  </si>
  <si>
    <t>Рабочая и лесоустроительная документация по объекту : «Реконструкция ВЛ 35 кВ № 34 ПС «Н.Омра» - ПС «Троицк» в районе Троицко-Печорского лесхоза в части расширения в объеме 19,72 га (ЦЭС)»</t>
  </si>
  <si>
    <t>Смета 1-34.                    Договор № 4/19-С от 30.05.19</t>
  </si>
  <si>
    <t>РАСЧЕТ 1/34</t>
  </si>
  <si>
    <t>«Реконструкция ВЛ 35 кВ № 34 ПС «Н.Омра» - ПС «Троицк» в районе Троицко-Печорского лесхоза в части расширения в объеме 19,72 га (ЦЭС)»</t>
  </si>
  <si>
    <t>ЛС 02-01.34</t>
  </si>
  <si>
    <t>Составлена  в ценах по состоянию на 2 квартал 2019г</t>
  </si>
  <si>
    <t>«Реконструкция ВЛ 35-220кВ в части расширения просек», «Реконструкция ВЛ 35 кВ № 34 ПС «Н.Омра» - ПС «Троицк» в районе Троицко-Печорского лесхоза в части расширения в объеме 19,72 га (ЦЭС)»</t>
  </si>
  <si>
    <t xml:space="preserve"> «Реконструкция ВЛ 35 кВ № 34 ПС «Н.Омра» - ПС «Троицк» в районе Троицко-Печорского лесхоза в части расширения в объеме 19,72 га (ЦЭС)»</t>
  </si>
  <si>
    <t>Расчет начальной максимальной цены лота на выполнение СМР (в соответствии с утвержденным сметным расчетом) по объекту:«Реконструкция ВЛ 35-220кВ в части расширения просек», «Реконструкция ВЛ 35 кВ № 34 ПС «Н.Омра» - ПС «Троицк» в районе Троицко-Печорского лесхоза в части расширения в объеме 19,72 га (ЦЭС)»</t>
  </si>
  <si>
    <t>Сводка затрат по ИП_000-54-1-01.21-0512 «Реконструкция ВЛ 35 кВ № 34 ПС «Н.Омра» - ПС «Троицк» в районе Троицко-Печорского лесхоза в части расширения в объеме 19,72 га (ЦЭС)»</t>
  </si>
  <si>
    <t>ССР</t>
  </si>
  <si>
    <t>Проектно-изыскательские работы</t>
  </si>
  <si>
    <t>Заместитель директора по инвестиционной деятельности филиала ПАО "МРСК Северо-Запада" в Республике Коми  
_________________________ В.Ю. Размыслов</t>
  </si>
  <si>
    <t>Заместитель директора по инвестиционной деятельности
филиала ПАО "МРСК Северо-Запада" в Республике Коми
_________________________ В.Ю. Размыслов</t>
  </si>
  <si>
    <t>Разработал:      Ведущий инженер ОКС                                                       А.А. Чупрова</t>
  </si>
  <si>
    <t>БЛОК 3                                                                                                  Плановая стоимость объекта в прогнозных ценах 2023 года относительно уровня 4 квартала 2017 года.</t>
  </si>
  <si>
    <t>Стоимость лота  в ценах 2023года</t>
  </si>
  <si>
    <t>ИТОГО плановая цена  в ценах 2023 года</t>
  </si>
  <si>
    <t>"__"_________ 20    г.</t>
  </si>
  <si>
    <t>С учетом индексов-дефляторов на 2023 г. 1,053*1,074*1,036*1,037*1,037*1,038</t>
  </si>
  <si>
    <t>га</t>
  </si>
  <si>
    <t xml:space="preserve">Индексы на 4 квартал 2019 года </t>
  </si>
  <si>
    <t>Письмо Минстроя России от 09.12.2019 №46999-ДВ/09</t>
  </si>
  <si>
    <t>Стоимость строительства в ценах 4 квартала 2019 года</t>
  </si>
  <si>
    <t>Индексы - дефляторы МЭР по строке "Капвложения" на 2023 год (указать период выпуска)</t>
  </si>
  <si>
    <t>за га лот</t>
  </si>
  <si>
    <t>за га полная</t>
  </si>
  <si>
    <t>Стоимость строительства в ценах на период строительства в 2023 году</t>
  </si>
  <si>
    <t>фактическое выполнение 3 831 791,29/1000=</t>
  </si>
  <si>
    <t xml:space="preserve">Разработал:      Ведущий инженер ОКС                                                        А.А. Чупрова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</si>
</sst>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р_._-;\-* #,##0.00_р_._-;_-* &quot;-&quot;??_р_._-;_-@_-"/>
    <numFmt numFmtId="165" formatCode="_-* #,##0_р_._-;\-* #,##0_р_._-;_-* &quot;-&quot;??_р_._-;_-@_-"/>
    <numFmt numFmtId="166" formatCode="#,##0.000"/>
    <numFmt numFmtId="167" formatCode="0.000"/>
    <numFmt numFmtId="168" formatCode="#,##0.00000"/>
    <numFmt numFmtId="169" formatCode="#,##0.0000000"/>
    <numFmt numFmtId="170" formatCode="#,##0.000\ _₽"/>
    <numFmt numFmtId="171" formatCode="#,##0.00000;[Red]\-#,##0.00000"/>
  </numFmts>
  <fonts count="57" x14ac:knownFonts="1">
    <font>
      <sz val="11"/>
      <color theme="1"/>
      <name val="Calibri"/>
      <family val="2"/>
      <scheme val="minor"/>
    </font>
    <font>
      <sz val="7"/>
      <color indexed="8"/>
      <name val="Arial"/>
      <family val="2"/>
      <charset val="204"/>
    </font>
    <font>
      <b/>
      <i/>
      <sz val="10"/>
      <color indexed="8"/>
      <name val="Times New Roman"/>
      <family val="1"/>
      <charset val="204"/>
    </font>
    <font>
      <sz val="10"/>
      <name val="Arial Cyr"/>
      <charset val="204"/>
    </font>
    <font>
      <sz val="9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 Cyr"/>
      <charset val="204"/>
    </font>
    <font>
      <sz val="9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sz val="10"/>
      <name val="Helv"/>
    </font>
    <font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Arial Cyr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</font>
    <font>
      <sz val="11"/>
      <color indexed="8"/>
      <name val="Arial"/>
      <family val="2"/>
      <charset val="204"/>
    </font>
    <font>
      <b/>
      <sz val="10"/>
      <name val="Times New Roman"/>
      <family val="1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Arial"/>
      <family val="2"/>
    </font>
    <font>
      <sz val="1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9"/>
      <color rgb="FF000000"/>
      <name val="Arial"/>
      <family val="2"/>
      <charset val="204"/>
    </font>
    <font>
      <sz val="7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8">
    <xf numFmtId="0" fontId="0" fillId="0" borderId="0"/>
    <xf numFmtId="0" fontId="1" fillId="0" borderId="0">
      <alignment horizontal="left" vertical="top"/>
    </xf>
    <xf numFmtId="0" fontId="2" fillId="0" borderId="0">
      <alignment horizontal="right" vertical="top"/>
    </xf>
    <xf numFmtId="0" fontId="5" fillId="0" borderId="0">
      <alignment horizontal="center" vertical="center"/>
    </xf>
    <xf numFmtId="0" fontId="4" fillId="0" borderId="0">
      <alignment horizontal="left" vertical="top"/>
    </xf>
    <xf numFmtId="0" fontId="44" fillId="0" borderId="0">
      <alignment horizontal="left" vertical="top"/>
    </xf>
    <xf numFmtId="0" fontId="6" fillId="0" borderId="0">
      <alignment horizontal="left" vertical="top"/>
    </xf>
    <xf numFmtId="0" fontId="4" fillId="0" borderId="0">
      <alignment horizontal="left" vertical="top"/>
    </xf>
    <xf numFmtId="0" fontId="1" fillId="0" borderId="1">
      <alignment horizontal="center" vertical="center"/>
    </xf>
    <xf numFmtId="0" fontId="1" fillId="0" borderId="2">
      <alignment horizontal="center" vertical="center"/>
    </xf>
    <xf numFmtId="0" fontId="1" fillId="0" borderId="1">
      <alignment horizontal="center" vertical="center"/>
    </xf>
    <xf numFmtId="0" fontId="1" fillId="0" borderId="1">
      <alignment horizontal="center" vertical="center"/>
    </xf>
    <xf numFmtId="0" fontId="1" fillId="0" borderId="1">
      <alignment horizontal="center" vertical="center"/>
    </xf>
    <xf numFmtId="0" fontId="45" fillId="0" borderId="1">
      <alignment horizontal="center" vertical="center"/>
    </xf>
    <xf numFmtId="0" fontId="1" fillId="0" borderId="3">
      <alignment horizontal="center" vertical="center"/>
    </xf>
    <xf numFmtId="0" fontId="4" fillId="0" borderId="0">
      <alignment horizontal="left" vertical="top"/>
    </xf>
    <xf numFmtId="0" fontId="1" fillId="0" borderId="2">
      <alignment horizontal="center" vertical="center"/>
    </xf>
    <xf numFmtId="0" fontId="1" fillId="0" borderId="1">
      <alignment horizontal="center" vertical="center"/>
    </xf>
    <xf numFmtId="0" fontId="1" fillId="0" borderId="1">
      <alignment horizontal="center" vertical="center"/>
    </xf>
    <xf numFmtId="0" fontId="1" fillId="0" borderId="1">
      <alignment horizontal="center" vertical="center"/>
    </xf>
    <xf numFmtId="0" fontId="45" fillId="0" borderId="1">
      <alignment horizontal="center" vertical="center"/>
    </xf>
    <xf numFmtId="0" fontId="1" fillId="0" borderId="3">
      <alignment horizontal="center" vertical="center"/>
    </xf>
    <xf numFmtId="0" fontId="7" fillId="0" borderId="4">
      <alignment horizontal="left" vertical="top"/>
    </xf>
    <xf numFmtId="0" fontId="1" fillId="0" borderId="0">
      <alignment horizontal="left" vertical="top"/>
    </xf>
    <xf numFmtId="0" fontId="1" fillId="0" borderId="0">
      <alignment horizontal="left" vertical="top"/>
    </xf>
    <xf numFmtId="0" fontId="1" fillId="0" borderId="0">
      <alignment horizontal="right" vertical="top"/>
    </xf>
    <xf numFmtId="0" fontId="1" fillId="0" borderId="0">
      <alignment horizontal="right" vertical="top"/>
    </xf>
    <xf numFmtId="0" fontId="4" fillId="0" borderId="0">
      <alignment horizontal="left" vertical="top"/>
    </xf>
    <xf numFmtId="0" fontId="8" fillId="0" borderId="0">
      <alignment horizontal="left" vertical="top"/>
    </xf>
    <xf numFmtId="0" fontId="8" fillId="0" borderId="0">
      <alignment horizontal="right" vertical="top"/>
    </xf>
    <xf numFmtId="0" fontId="8" fillId="0" borderId="0">
      <alignment horizontal="left" vertical="top"/>
    </xf>
    <xf numFmtId="0" fontId="8" fillId="0" borderId="0">
      <alignment horizontal="right" vertical="top"/>
    </xf>
    <xf numFmtId="0" fontId="8" fillId="0" borderId="0">
      <alignment horizontal="left" vertical="top"/>
    </xf>
    <xf numFmtId="0" fontId="46" fillId="0" borderId="0">
      <alignment horizontal="left" vertical="top"/>
    </xf>
    <xf numFmtId="0" fontId="8" fillId="0" borderId="0">
      <alignment horizontal="left" vertical="top"/>
    </xf>
    <xf numFmtId="0" fontId="8" fillId="0" borderId="0">
      <alignment horizontal="left" vertical="top"/>
    </xf>
    <xf numFmtId="0" fontId="8" fillId="0" borderId="0">
      <alignment horizontal="left" vertical="top"/>
    </xf>
    <xf numFmtId="0" fontId="8" fillId="0" borderId="0">
      <alignment horizontal="left" vertical="top"/>
    </xf>
    <xf numFmtId="0" fontId="9" fillId="0" borderId="4">
      <alignment horizontal="left" vertical="top"/>
    </xf>
    <xf numFmtId="0" fontId="4" fillId="0" borderId="4">
      <alignment horizontal="left" vertical="top"/>
    </xf>
    <xf numFmtId="0" fontId="8" fillId="0" borderId="0">
      <alignment horizontal="right" vertical="top"/>
    </xf>
    <xf numFmtId="0" fontId="4" fillId="0" borderId="4">
      <alignment horizontal="left" vertical="top"/>
    </xf>
    <xf numFmtId="0" fontId="8" fillId="0" borderId="0">
      <alignment horizontal="left"/>
    </xf>
    <xf numFmtId="0" fontId="8" fillId="0" borderId="0">
      <alignment horizontal="left"/>
    </xf>
    <xf numFmtId="0" fontId="9" fillId="0" borderId="0">
      <alignment horizontal="left" vertical="top"/>
    </xf>
    <xf numFmtId="0" fontId="9" fillId="0" borderId="0">
      <alignment horizontal="left" vertical="top"/>
    </xf>
    <xf numFmtId="0" fontId="9" fillId="0" borderId="0">
      <alignment horizontal="left" vertical="top"/>
    </xf>
    <xf numFmtId="0" fontId="8" fillId="0" borderId="0">
      <alignment horizontal="left"/>
    </xf>
    <xf numFmtId="0" fontId="8" fillId="0" borderId="0">
      <alignment horizontal="left" vertical="top"/>
    </xf>
    <xf numFmtId="0" fontId="4" fillId="0" borderId="4">
      <alignment horizontal="left"/>
    </xf>
    <xf numFmtId="0" fontId="4" fillId="0" borderId="0">
      <alignment horizontal="left" vertical="top"/>
    </xf>
    <xf numFmtId="0" fontId="9" fillId="0" borderId="0">
      <alignment horizontal="left" vertical="top"/>
    </xf>
    <xf numFmtId="0" fontId="4" fillId="0" borderId="0">
      <alignment horizontal="center" vertical="top"/>
    </xf>
    <xf numFmtId="0" fontId="4" fillId="0" borderId="0">
      <alignment horizontal="left" vertical="top"/>
    </xf>
    <xf numFmtId="0" fontId="44" fillId="0" borderId="0">
      <alignment horizontal="left" vertical="top"/>
    </xf>
    <xf numFmtId="0" fontId="4" fillId="0" borderId="0">
      <alignment horizontal="right" vertical="top"/>
    </xf>
    <xf numFmtId="0" fontId="44" fillId="0" borderId="0">
      <alignment horizontal="right" vertical="top"/>
    </xf>
    <xf numFmtId="0" fontId="4" fillId="0" borderId="0">
      <alignment horizontal="left" vertical="top"/>
    </xf>
    <xf numFmtId="0" fontId="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1" fillId="0" borderId="0"/>
    <xf numFmtId="0" fontId="22" fillId="0" borderId="0"/>
    <xf numFmtId="164" fontId="43" fillId="0" borderId="0" applyFont="0" applyFill="0" applyBorder="0" applyAlignment="0" applyProtection="0"/>
    <xf numFmtId="164" fontId="43" fillId="0" borderId="0" applyFont="0" applyFill="0" applyBorder="0" applyAlignment="0" applyProtection="0"/>
    <xf numFmtId="164" fontId="43" fillId="0" borderId="0" applyFont="0" applyFill="0" applyBorder="0" applyAlignment="0" applyProtection="0"/>
  </cellStyleXfs>
  <cellXfs count="517">
    <xf numFmtId="0" fontId="0" fillId="0" borderId="0" xfId="0"/>
    <xf numFmtId="0" fontId="3" fillId="0" borderId="0" xfId="58" applyAlignment="1">
      <alignment wrapText="1"/>
    </xf>
    <xf numFmtId="0" fontId="8" fillId="0" borderId="0" xfId="47" quotePrefix="1" applyAlignment="1">
      <alignment horizontal="left" wrapText="1"/>
    </xf>
    <xf numFmtId="0" fontId="43" fillId="0" borderId="0" xfId="59"/>
    <xf numFmtId="0" fontId="47" fillId="0" borderId="0" xfId="59" applyFont="1"/>
    <xf numFmtId="0" fontId="11" fillId="0" borderId="0" xfId="39" applyFont="1" applyBorder="1" applyAlignment="1">
      <alignment horizontal="left" vertical="top" wrapText="1"/>
    </xf>
    <xf numFmtId="0" fontId="11" fillId="0" borderId="0" xfId="7" applyFont="1" applyBorder="1" applyAlignment="1">
      <alignment horizontal="left" vertical="top" wrapText="1"/>
    </xf>
    <xf numFmtId="165" fontId="13" fillId="0" borderId="0" xfId="59" applyNumberFormat="1" applyFont="1" applyFill="1" applyBorder="1" applyAlignment="1">
      <alignment horizontal="left" vertical="center" wrapText="1"/>
    </xf>
    <xf numFmtId="0" fontId="48" fillId="0" borderId="0" xfId="59" applyFont="1"/>
    <xf numFmtId="0" fontId="7" fillId="0" borderId="5" xfId="22" quotePrefix="1" applyBorder="1" applyAlignment="1">
      <alignment horizontal="left" vertical="top" wrapText="1"/>
    </xf>
    <xf numFmtId="0" fontId="7" fillId="0" borderId="6" xfId="22" quotePrefix="1" applyBorder="1" applyAlignment="1">
      <alignment horizontal="left" vertical="top" wrapText="1"/>
    </xf>
    <xf numFmtId="0" fontId="0" fillId="0" borderId="0" xfId="0" applyBorder="1" applyAlignment="1">
      <alignment horizontal="left" vertical="center" wrapText="1"/>
    </xf>
    <xf numFmtId="165" fontId="49" fillId="0" borderId="0" xfId="61" applyNumberFormat="1" applyFont="1" applyFill="1" applyBorder="1" applyAlignment="1">
      <alignment horizontal="center" vertical="center" wrapText="1"/>
    </xf>
    <xf numFmtId="165" fontId="50" fillId="0" borderId="0" xfId="59" applyNumberFormat="1" applyFont="1" applyFill="1" applyBorder="1" applyAlignment="1">
      <alignment horizontal="left" vertical="center" wrapText="1"/>
    </xf>
    <xf numFmtId="0" fontId="8" fillId="0" borderId="7" xfId="16" applyNumberFormat="1" applyFont="1" applyBorder="1" applyAlignment="1">
      <alignment horizontal="center" vertical="center" wrapText="1"/>
    </xf>
    <xf numFmtId="0" fontId="8" fillId="0" borderId="8" xfId="17" applyNumberFormat="1" applyFont="1" applyBorder="1" applyAlignment="1">
      <alignment horizontal="center" vertical="center" wrapText="1"/>
    </xf>
    <xf numFmtId="0" fontId="8" fillId="0" borderId="7" xfId="19" applyNumberFormat="1" applyFont="1" applyBorder="1" applyAlignment="1">
      <alignment horizontal="center" vertical="center" wrapText="1"/>
    </xf>
    <xf numFmtId="0" fontId="8" fillId="0" borderId="8" xfId="19" applyNumberFormat="1" applyFont="1" applyBorder="1" applyAlignment="1">
      <alignment horizontal="center" vertical="center" wrapText="1"/>
    </xf>
    <xf numFmtId="0" fontId="8" fillId="0" borderId="9" xfId="19" applyNumberFormat="1" applyFont="1" applyBorder="1" applyAlignment="1">
      <alignment horizontal="center" vertical="center" wrapText="1"/>
    </xf>
    <xf numFmtId="0" fontId="1" fillId="0" borderId="7" xfId="12" quotePrefix="1" applyBorder="1" applyAlignment="1">
      <alignment horizontal="center" vertical="center" wrapText="1"/>
    </xf>
    <xf numFmtId="0" fontId="1" fillId="0" borderId="8" xfId="12" quotePrefix="1" applyBorder="1" applyAlignment="1">
      <alignment horizontal="center" vertical="center" wrapText="1"/>
    </xf>
    <xf numFmtId="4" fontId="10" fillId="0" borderId="7" xfId="12" quotePrefix="1" applyNumberFormat="1" applyFont="1" applyBorder="1" applyAlignment="1">
      <alignment horizontal="center" vertical="center" wrapText="1"/>
    </xf>
    <xf numFmtId="4" fontId="10" fillId="0" borderId="8" xfId="12" quotePrefix="1" applyNumberFormat="1" applyFont="1" applyBorder="1" applyAlignment="1">
      <alignment horizontal="center" vertical="center" wrapText="1"/>
    </xf>
    <xf numFmtId="4" fontId="10" fillId="0" borderId="9" xfId="12" quotePrefix="1" applyNumberFormat="1" applyFont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8" fillId="0" borderId="10" xfId="18" applyNumberFormat="1" applyFont="1" applyBorder="1" applyAlignment="1">
      <alignment horizontal="center" vertical="center" wrapText="1"/>
    </xf>
    <xf numFmtId="165" fontId="50" fillId="0" borderId="0" xfId="59" applyNumberFormat="1" applyFont="1" applyFill="1" applyBorder="1" applyAlignment="1">
      <alignment horizontal="right" vertical="center" wrapText="1"/>
    </xf>
    <xf numFmtId="0" fontId="0" fillId="0" borderId="0" xfId="0" applyAlignment="1"/>
    <xf numFmtId="0" fontId="1" fillId="0" borderId="11" xfId="14" quotePrefix="1" applyBorder="1" applyAlignment="1">
      <alignment horizontal="center" vertical="center" wrapText="1"/>
    </xf>
    <xf numFmtId="0" fontId="1" fillId="0" borderId="12" xfId="12" quotePrefix="1" applyBorder="1" applyAlignment="1">
      <alignment horizontal="center" vertical="center" wrapText="1"/>
    </xf>
    <xf numFmtId="0" fontId="8" fillId="0" borderId="13" xfId="21" applyNumberFormat="1" applyFont="1" applyBorder="1" applyAlignment="1">
      <alignment horizontal="center" vertical="center" wrapText="1"/>
    </xf>
    <xf numFmtId="0" fontId="10" fillId="0" borderId="14" xfId="21" applyNumberFormat="1" applyFont="1" applyBorder="1" applyAlignment="1">
      <alignment horizontal="center" vertical="center" wrapText="1"/>
    </xf>
    <xf numFmtId="0" fontId="10" fillId="0" borderId="12" xfId="21" applyNumberFormat="1" applyFont="1" applyBorder="1" applyAlignment="1">
      <alignment horizontal="center" vertical="center" wrapText="1"/>
    </xf>
    <xf numFmtId="0" fontId="10" fillId="0" borderId="15" xfId="21" applyNumberFormat="1" applyFont="1" applyBorder="1" applyAlignment="1">
      <alignment horizontal="center" vertical="center" wrapText="1"/>
    </xf>
    <xf numFmtId="4" fontId="10" fillId="0" borderId="13" xfId="14" quotePrefix="1" applyNumberFormat="1" applyFont="1" applyBorder="1" applyAlignment="1">
      <alignment vertical="center" wrapText="1"/>
    </xf>
    <xf numFmtId="0" fontId="10" fillId="0" borderId="13" xfId="21" applyNumberFormat="1" applyFont="1" applyBorder="1" applyAlignment="1">
      <alignment horizontal="center" vertical="center" wrapText="1"/>
    </xf>
    <xf numFmtId="0" fontId="3" fillId="0" borderId="0" xfId="58" applyAlignment="1">
      <alignment horizontal="right"/>
    </xf>
    <xf numFmtId="0" fontId="4" fillId="0" borderId="0" xfId="39" quotePrefix="1" applyBorder="1" applyAlignment="1">
      <alignment horizontal="left" vertical="top" wrapText="1"/>
    </xf>
    <xf numFmtId="0" fontId="4" fillId="0" borderId="0" xfId="39" applyBorder="1" applyAlignment="1">
      <alignment horizontal="left" vertical="top" wrapText="1"/>
    </xf>
    <xf numFmtId="4" fontId="10" fillId="0" borderId="10" xfId="14" quotePrefix="1" applyNumberFormat="1" applyFont="1" applyBorder="1" applyAlignment="1">
      <alignment vertical="center" wrapText="1"/>
    </xf>
    <xf numFmtId="0" fontId="15" fillId="0" borderId="0" xfId="44" applyFont="1" applyBorder="1" applyAlignment="1">
      <alignment horizontal="left" vertical="center" wrapText="1"/>
    </xf>
    <xf numFmtId="0" fontId="51" fillId="0" borderId="0" xfId="0" applyFont="1" applyBorder="1" applyAlignment="1">
      <alignment horizontal="left" vertical="center" wrapText="1"/>
    </xf>
    <xf numFmtId="166" fontId="8" fillId="0" borderId="16" xfId="25" applyNumberFormat="1" applyFont="1" applyFill="1" applyBorder="1" applyAlignment="1">
      <alignment horizontal="right" vertical="top" wrapText="1"/>
    </xf>
    <xf numFmtId="166" fontId="8" fillId="0" borderId="1" xfId="25" applyNumberFormat="1" applyFont="1" applyFill="1" applyBorder="1" applyAlignment="1">
      <alignment horizontal="right" vertical="top" wrapText="1"/>
    </xf>
    <xf numFmtId="166" fontId="8" fillId="0" borderId="3" xfId="25" applyNumberFormat="1" applyFont="1" applyFill="1" applyBorder="1" applyAlignment="1">
      <alignment horizontal="right" vertical="top" wrapText="1"/>
    </xf>
    <xf numFmtId="166" fontId="8" fillId="0" borderId="17" xfId="25" applyNumberFormat="1" applyFont="1" applyFill="1" applyBorder="1" applyAlignment="1">
      <alignment horizontal="right" vertical="top" wrapText="1"/>
    </xf>
    <xf numFmtId="166" fontId="8" fillId="0" borderId="18" xfId="29" applyNumberFormat="1" applyFont="1" applyBorder="1" applyAlignment="1">
      <alignment horizontal="right" vertical="top" wrapText="1"/>
    </xf>
    <xf numFmtId="166" fontId="8" fillId="0" borderId="2" xfId="29" applyNumberFormat="1" applyFont="1" applyBorder="1" applyAlignment="1">
      <alignment horizontal="right" vertical="top" wrapText="1"/>
    </xf>
    <xf numFmtId="166" fontId="7" fillId="0" borderId="5" xfId="22" quotePrefix="1" applyNumberFormat="1" applyBorder="1" applyAlignment="1">
      <alignment horizontal="left" vertical="top" wrapText="1"/>
    </xf>
    <xf numFmtId="166" fontId="8" fillId="0" borderId="19" xfId="29" applyNumberFormat="1" applyFont="1" applyBorder="1" applyAlignment="1">
      <alignment horizontal="right" vertical="top" wrapText="1"/>
    </xf>
    <xf numFmtId="166" fontId="8" fillId="0" borderId="20" xfId="29" applyNumberFormat="1" applyFont="1" applyBorder="1" applyAlignment="1">
      <alignment horizontal="right" vertical="top" wrapText="1"/>
    </xf>
    <xf numFmtId="166" fontId="8" fillId="0" borderId="21" xfId="29" applyNumberFormat="1" applyFont="1" applyBorder="1" applyAlignment="1">
      <alignment horizontal="right" vertical="top" wrapText="1"/>
    </xf>
    <xf numFmtId="166" fontId="8" fillId="0" borderId="22" xfId="29" applyNumberFormat="1" applyFont="1" applyBorder="1" applyAlignment="1">
      <alignment horizontal="right" vertical="top" wrapText="1"/>
    </xf>
    <xf numFmtId="166" fontId="8" fillId="0" borderId="23" xfId="29" applyNumberFormat="1" applyFont="1" applyBorder="1" applyAlignment="1">
      <alignment horizontal="right" vertical="top" wrapText="1"/>
    </xf>
    <xf numFmtId="166" fontId="8" fillId="0" borderId="16" xfId="29" applyNumberFormat="1" applyFont="1" applyBorder="1" applyAlignment="1">
      <alignment horizontal="right" vertical="top" wrapText="1"/>
    </xf>
    <xf numFmtId="166" fontId="8" fillId="0" borderId="1" xfId="29" applyNumberFormat="1" applyFont="1" applyBorder="1" applyAlignment="1">
      <alignment horizontal="right" vertical="top" wrapText="1"/>
    </xf>
    <xf numFmtId="166" fontId="8" fillId="0" borderId="3" xfId="29" applyNumberFormat="1" applyFont="1" applyBorder="1" applyAlignment="1">
      <alignment horizontal="right" vertical="top" wrapText="1"/>
    </xf>
    <xf numFmtId="166" fontId="8" fillId="0" borderId="17" xfId="29" applyNumberFormat="1" applyFont="1" applyBorder="1" applyAlignment="1">
      <alignment horizontal="right" vertical="top" wrapText="1"/>
    </xf>
    <xf numFmtId="166" fontId="8" fillId="0" borderId="24" xfId="29" applyNumberFormat="1" applyFont="1" applyBorder="1" applyAlignment="1">
      <alignment horizontal="right" vertical="top" wrapText="1"/>
    </xf>
    <xf numFmtId="166" fontId="8" fillId="0" borderId="25" xfId="29" applyNumberFormat="1" applyFont="1" applyBorder="1" applyAlignment="1">
      <alignment horizontal="right" vertical="top" wrapText="1"/>
    </xf>
    <xf numFmtId="166" fontId="7" fillId="0" borderId="6" xfId="22" quotePrefix="1" applyNumberFormat="1" applyBorder="1" applyAlignment="1">
      <alignment horizontal="left" vertical="top" wrapText="1"/>
    </xf>
    <xf numFmtId="166" fontId="8" fillId="0" borderId="26" xfId="29" applyNumberFormat="1" applyFont="1" applyBorder="1" applyAlignment="1">
      <alignment horizontal="right" vertical="top" wrapText="1"/>
    </xf>
    <xf numFmtId="166" fontId="8" fillId="0" borderId="16" xfId="29" applyNumberFormat="1" applyFont="1" applyFill="1" applyBorder="1" applyAlignment="1">
      <alignment horizontal="right" vertical="top" wrapText="1"/>
    </xf>
    <xf numFmtId="166" fontId="8" fillId="0" borderId="1" xfId="29" applyNumberFormat="1" applyFont="1" applyFill="1" applyBorder="1" applyAlignment="1">
      <alignment horizontal="right" vertical="top" wrapText="1"/>
    </xf>
    <xf numFmtId="166" fontId="8" fillId="0" borderId="17" xfId="29" applyNumberFormat="1" applyFont="1" applyFill="1" applyBorder="1" applyAlignment="1">
      <alignment horizontal="right" vertical="top" wrapText="1"/>
    </xf>
    <xf numFmtId="166" fontId="8" fillId="0" borderId="3" xfId="29" applyNumberFormat="1" applyFont="1" applyFill="1" applyBorder="1" applyAlignment="1">
      <alignment horizontal="right" vertical="top" wrapText="1"/>
    </xf>
    <xf numFmtId="166" fontId="10" fillId="0" borderId="17" xfId="29" applyNumberFormat="1" applyFont="1" applyFill="1" applyBorder="1" applyAlignment="1">
      <alignment horizontal="right" vertical="top" wrapText="1"/>
    </xf>
    <xf numFmtId="166" fontId="8" fillId="0" borderId="24" xfId="29" applyNumberFormat="1" applyFont="1" applyFill="1" applyBorder="1" applyAlignment="1">
      <alignment horizontal="right" vertical="top" wrapText="1"/>
    </xf>
    <xf numFmtId="166" fontId="8" fillId="0" borderId="18" xfId="29" applyNumberFormat="1" applyFont="1" applyFill="1" applyBorder="1" applyAlignment="1">
      <alignment horizontal="right" vertical="top" wrapText="1"/>
    </xf>
    <xf numFmtId="166" fontId="8" fillId="0" borderId="27" xfId="29" applyNumberFormat="1" applyFont="1" applyFill="1" applyBorder="1" applyAlignment="1">
      <alignment horizontal="right" vertical="top" wrapText="1"/>
    </xf>
    <xf numFmtId="166" fontId="8" fillId="0" borderId="25" xfId="29" applyNumberFormat="1" applyFont="1" applyFill="1" applyBorder="1" applyAlignment="1">
      <alignment horizontal="right" vertical="top" wrapText="1"/>
    </xf>
    <xf numFmtId="166" fontId="10" fillId="0" borderId="25" xfId="29" applyNumberFormat="1" applyFont="1" applyFill="1" applyBorder="1" applyAlignment="1">
      <alignment horizontal="right" vertical="top" wrapText="1"/>
    </xf>
    <xf numFmtId="166" fontId="8" fillId="0" borderId="28" xfId="29" applyNumberFormat="1" applyFont="1" applyFill="1" applyBorder="1" applyAlignment="1">
      <alignment horizontal="right" vertical="top" wrapText="1"/>
    </xf>
    <xf numFmtId="166" fontId="8" fillId="0" borderId="22" xfId="29" applyNumberFormat="1" applyFont="1" applyFill="1" applyBorder="1" applyAlignment="1">
      <alignment horizontal="right" vertical="top" wrapText="1"/>
    </xf>
    <xf numFmtId="166" fontId="8" fillId="0" borderId="23" xfId="29" applyNumberFormat="1" applyFont="1" applyFill="1" applyBorder="1" applyAlignment="1">
      <alignment horizontal="right" vertical="top" wrapText="1"/>
    </xf>
    <xf numFmtId="166" fontId="8" fillId="0" borderId="29" xfId="29" applyNumberFormat="1" applyFont="1" applyFill="1" applyBorder="1" applyAlignment="1">
      <alignment horizontal="right" vertical="top" wrapText="1"/>
    </xf>
    <xf numFmtId="166" fontId="8" fillId="0" borderId="21" xfId="29" applyNumberFormat="1" applyFont="1" applyFill="1" applyBorder="1" applyAlignment="1">
      <alignment horizontal="right" vertical="top" wrapText="1"/>
    </xf>
    <xf numFmtId="166" fontId="10" fillId="0" borderId="21" xfId="29" applyNumberFormat="1" applyFont="1" applyFill="1" applyBorder="1" applyAlignment="1">
      <alignment horizontal="right" vertical="top" wrapText="1"/>
    </xf>
    <xf numFmtId="166" fontId="10" fillId="0" borderId="2" xfId="29" applyNumberFormat="1" applyFont="1" applyBorder="1" applyAlignment="1">
      <alignment horizontal="right" vertical="top" wrapText="1"/>
    </xf>
    <xf numFmtId="166" fontId="10" fillId="0" borderId="1" xfId="29" applyNumberFormat="1" applyFont="1" applyBorder="1" applyAlignment="1">
      <alignment horizontal="right" vertical="top" wrapText="1"/>
    </xf>
    <xf numFmtId="166" fontId="10" fillId="0" borderId="3" xfId="29" applyNumberFormat="1" applyFont="1" applyBorder="1" applyAlignment="1">
      <alignment horizontal="right" vertical="top" wrapText="1"/>
    </xf>
    <xf numFmtId="166" fontId="10" fillId="0" borderId="17" xfId="29" applyNumberFormat="1" applyFont="1" applyBorder="1" applyAlignment="1">
      <alignment horizontal="right" vertical="top" wrapText="1"/>
    </xf>
    <xf numFmtId="166" fontId="10" fillId="0" borderId="30" xfId="29" applyNumberFormat="1" applyFont="1" applyBorder="1" applyAlignment="1">
      <alignment horizontal="right" vertical="top" wrapText="1"/>
    </xf>
    <xf numFmtId="166" fontId="10" fillId="0" borderId="18" xfId="29" applyNumberFormat="1" applyFont="1" applyBorder="1" applyAlignment="1">
      <alignment horizontal="right" vertical="top" wrapText="1"/>
    </xf>
    <xf numFmtId="166" fontId="10" fillId="0" borderId="27" xfId="29" applyNumberFormat="1" applyFont="1" applyBorder="1" applyAlignment="1">
      <alignment horizontal="right" vertical="top" wrapText="1"/>
    </xf>
    <xf numFmtId="166" fontId="10" fillId="0" borderId="25" xfId="29" applyNumberFormat="1" applyFont="1" applyBorder="1" applyAlignment="1">
      <alignment horizontal="right" vertical="top" wrapText="1"/>
    </xf>
    <xf numFmtId="166" fontId="11" fillId="0" borderId="0" xfId="7" applyNumberFormat="1" applyFont="1" applyBorder="1" applyAlignment="1">
      <alignment horizontal="left" vertical="top" wrapText="1"/>
    </xf>
    <xf numFmtId="166" fontId="8" fillId="0" borderId="31" xfId="29" applyNumberFormat="1" applyFont="1" applyFill="1" applyBorder="1" applyAlignment="1">
      <alignment horizontal="right" vertical="top" wrapText="1"/>
    </xf>
    <xf numFmtId="166" fontId="10" fillId="0" borderId="23" xfId="29" applyNumberFormat="1" applyFont="1" applyBorder="1" applyAlignment="1">
      <alignment horizontal="right" vertical="top" wrapText="1"/>
    </xf>
    <xf numFmtId="166" fontId="18" fillId="0" borderId="21" xfId="29" applyNumberFormat="1" applyFont="1" applyBorder="1" applyAlignment="1">
      <alignment horizontal="right" vertical="top" wrapText="1"/>
    </xf>
    <xf numFmtId="166" fontId="7" fillId="0" borderId="17" xfId="29" applyNumberFormat="1" applyFont="1" applyFill="1" applyBorder="1" applyAlignment="1">
      <alignment horizontal="right" vertical="top" wrapText="1"/>
    </xf>
    <xf numFmtId="0" fontId="1" fillId="0" borderId="0" xfId="1" quotePrefix="1" applyBorder="1" applyAlignment="1">
      <alignment vertical="top" wrapText="1"/>
    </xf>
    <xf numFmtId="0" fontId="1" fillId="0" borderId="0" xfId="1" quotePrefix="1" applyBorder="1" applyAlignment="1">
      <alignment horizontal="center" vertical="center" wrapText="1"/>
    </xf>
    <xf numFmtId="0" fontId="4" fillId="0" borderId="0" xfId="50" applyBorder="1" applyAlignment="1">
      <alignment horizontal="center" vertical="center" wrapText="1"/>
    </xf>
    <xf numFmtId="0" fontId="4" fillId="0" borderId="0" xfId="15" quotePrefix="1" applyBorder="1" applyAlignment="1">
      <alignment vertical="top" wrapText="1"/>
    </xf>
    <xf numFmtId="0" fontId="0" fillId="0" borderId="0" xfId="0" applyAlignment="1">
      <alignment horizontal="center" vertical="center"/>
    </xf>
    <xf numFmtId="0" fontId="4" fillId="0" borderId="0" xfId="27" quotePrefix="1" applyBorder="1" applyAlignment="1">
      <alignment vertical="top" wrapText="1"/>
    </xf>
    <xf numFmtId="0" fontId="4" fillId="0" borderId="0" xfId="27" applyBorder="1" applyAlignment="1">
      <alignment vertical="top" wrapText="1"/>
    </xf>
    <xf numFmtId="0" fontId="21" fillId="0" borderId="32" xfId="12" quotePrefix="1" applyFont="1" applyBorder="1" applyAlignment="1">
      <alignment horizontal="center" vertical="center" wrapText="1"/>
    </xf>
    <xf numFmtId="0" fontId="21" fillId="0" borderId="8" xfId="12" quotePrefix="1" applyFont="1" applyBorder="1" applyAlignment="1">
      <alignment horizontal="center" vertical="center" wrapText="1"/>
    </xf>
    <xf numFmtId="0" fontId="21" fillId="0" borderId="33" xfId="12" quotePrefix="1" applyFont="1" applyBorder="1" applyAlignment="1">
      <alignment horizontal="center" vertical="center" wrapText="1"/>
    </xf>
    <xf numFmtId="0" fontId="8" fillId="0" borderId="14" xfId="19" applyNumberFormat="1" applyFont="1" applyBorder="1" applyAlignment="1">
      <alignment horizontal="center" vertical="center" wrapText="1"/>
    </xf>
    <xf numFmtId="0" fontId="8" fillId="0" borderId="12" xfId="19" applyNumberFormat="1" applyFont="1" applyBorder="1" applyAlignment="1">
      <alignment horizontal="center" vertical="center" wrapText="1"/>
    </xf>
    <xf numFmtId="0" fontId="8" fillId="0" borderId="33" xfId="19" applyNumberFormat="1" applyFont="1" applyBorder="1" applyAlignment="1">
      <alignment horizontal="center" vertical="center" wrapText="1"/>
    </xf>
    <xf numFmtId="165" fontId="50" fillId="0" borderId="0" xfId="61" applyNumberFormat="1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43" fillId="0" borderId="0" xfId="61" applyFont="1" applyBorder="1" applyAlignment="1">
      <alignment horizontal="center" vertical="center" wrapText="1"/>
    </xf>
    <xf numFmtId="0" fontId="50" fillId="0" borderId="0" xfId="0" applyFont="1" applyAlignment="1">
      <alignment wrapText="1"/>
    </xf>
    <xf numFmtId="0" fontId="23" fillId="0" borderId="0" xfId="64" applyFont="1" applyAlignment="1" applyProtection="1">
      <alignment vertical="center" wrapText="1"/>
      <protection locked="0"/>
    </xf>
    <xf numFmtId="0" fontId="23" fillId="0" borderId="0" xfId="64" applyFont="1" applyAlignment="1" applyProtection="1">
      <alignment horizontal="left" vertical="center"/>
      <protection locked="0"/>
    </xf>
    <xf numFmtId="0" fontId="52" fillId="0" borderId="0" xfId="61" applyFont="1" applyAlignment="1">
      <alignment horizontal="center" vertical="center"/>
    </xf>
    <xf numFmtId="0" fontId="52" fillId="0" borderId="0" xfId="61" applyFont="1" applyAlignment="1"/>
    <xf numFmtId="0" fontId="3" fillId="0" borderId="0" xfId="58" applyAlignment="1">
      <alignment horizontal="center" vertical="center" wrapText="1"/>
    </xf>
    <xf numFmtId="166" fontId="0" fillId="0" borderId="0" xfId="0" applyNumberFormat="1" applyFill="1" applyBorder="1" applyAlignment="1">
      <alignment horizontal="center" vertical="center" wrapText="1"/>
    </xf>
    <xf numFmtId="166" fontId="8" fillId="0" borderId="34" xfId="29" applyNumberFormat="1" applyFont="1" applyBorder="1" applyAlignment="1">
      <alignment horizontal="right" vertical="top" wrapText="1"/>
    </xf>
    <xf numFmtId="166" fontId="8" fillId="0" borderId="30" xfId="29" applyNumberFormat="1" applyFont="1" applyBorder="1" applyAlignment="1">
      <alignment horizontal="right" vertical="top" wrapText="1"/>
    </xf>
    <xf numFmtId="0" fontId="7" fillId="0" borderId="35" xfId="22" quotePrefix="1" applyFill="1" applyBorder="1" applyAlignment="1">
      <alignment horizontal="left" vertical="top" wrapText="1"/>
    </xf>
    <xf numFmtId="0" fontId="7" fillId="0" borderId="5" xfId="22" quotePrefix="1" applyFill="1" applyBorder="1" applyAlignment="1">
      <alignment horizontal="left" vertical="top" wrapText="1"/>
    </xf>
    <xf numFmtId="0" fontId="7" fillId="0" borderId="6" xfId="22" quotePrefix="1" applyFill="1" applyBorder="1" applyAlignment="1">
      <alignment horizontal="left" vertical="top" wrapText="1"/>
    </xf>
    <xf numFmtId="166" fontId="8" fillId="0" borderId="2" xfId="29" applyNumberFormat="1" applyFont="1" applyFill="1" applyBorder="1" applyAlignment="1">
      <alignment horizontal="right" vertical="top" wrapText="1"/>
    </xf>
    <xf numFmtId="166" fontId="8" fillId="0" borderId="30" xfId="29" applyNumberFormat="1" applyFont="1" applyFill="1" applyBorder="1" applyAlignment="1">
      <alignment horizontal="right" vertical="top" wrapText="1"/>
    </xf>
    <xf numFmtId="166" fontId="8" fillId="0" borderId="34" xfId="29" applyNumberFormat="1" applyFont="1" applyFill="1" applyBorder="1" applyAlignment="1">
      <alignment horizontal="right" vertical="top" wrapText="1"/>
    </xf>
    <xf numFmtId="0" fontId="53" fillId="0" borderId="1" xfId="0" applyFont="1" applyBorder="1" applyAlignment="1">
      <alignment vertical="center" wrapText="1"/>
    </xf>
    <xf numFmtId="166" fontId="10" fillId="0" borderId="22" xfId="29" applyNumberFormat="1" applyFont="1" applyBorder="1" applyAlignment="1">
      <alignment horizontal="right" vertical="top" wrapText="1"/>
    </xf>
    <xf numFmtId="166" fontId="10" fillId="0" borderId="16" xfId="29" applyNumberFormat="1" applyFont="1" applyBorder="1" applyAlignment="1">
      <alignment horizontal="right" vertical="top" wrapText="1"/>
    </xf>
    <xf numFmtId="166" fontId="10" fillId="0" borderId="24" xfId="29" applyNumberFormat="1" applyFont="1" applyBorder="1" applyAlignment="1">
      <alignment horizontal="right" vertical="top" wrapText="1"/>
    </xf>
    <xf numFmtId="2" fontId="8" fillId="0" borderId="16" xfId="22" applyNumberFormat="1" applyFont="1" applyBorder="1" applyAlignment="1">
      <alignment horizontal="right" vertical="top" wrapText="1"/>
    </xf>
    <xf numFmtId="2" fontId="8" fillId="0" borderId="17" xfId="28" quotePrefix="1" applyNumberFormat="1" applyFont="1" applyBorder="1" applyAlignment="1">
      <alignment horizontal="left" vertical="top" wrapText="1"/>
    </xf>
    <xf numFmtId="2" fontId="8" fillId="0" borderId="1" xfId="30" quotePrefix="1" applyNumberFormat="1" applyFont="1" applyBorder="1" applyAlignment="1">
      <alignment horizontal="left" vertical="top" wrapText="1"/>
    </xf>
    <xf numFmtId="2" fontId="8" fillId="0" borderId="17" xfId="28" applyNumberFormat="1" applyFont="1" applyBorder="1" applyAlignment="1">
      <alignment horizontal="left" vertical="top" wrapText="1"/>
    </xf>
    <xf numFmtId="2" fontId="8" fillId="0" borderId="18" xfId="30" quotePrefix="1" applyNumberFormat="1" applyFont="1" applyBorder="1" applyAlignment="1">
      <alignment horizontal="left" vertical="top" wrapText="1"/>
    </xf>
    <xf numFmtId="2" fontId="8" fillId="0" borderId="25" xfId="36" quotePrefix="1" applyNumberFormat="1" applyFont="1" applyBorder="1" applyAlignment="1">
      <alignment horizontal="left" vertical="top" wrapText="1"/>
    </xf>
    <xf numFmtId="2" fontId="8" fillId="0" borderId="17" xfId="36" quotePrefix="1" applyNumberFormat="1" applyFont="1" applyBorder="1" applyAlignment="1">
      <alignment horizontal="left" vertical="top" wrapText="1"/>
    </xf>
    <xf numFmtId="2" fontId="8" fillId="0" borderId="17" xfId="28" quotePrefix="1" applyNumberFormat="1" applyFont="1" applyFill="1" applyBorder="1" applyAlignment="1">
      <alignment horizontal="left" vertical="top" wrapText="1"/>
    </xf>
    <xf numFmtId="2" fontId="8" fillId="0" borderId="25" xfId="28" quotePrefix="1" applyNumberFormat="1" applyFont="1" applyFill="1" applyBorder="1" applyAlignment="1">
      <alignment horizontal="left" vertical="top" wrapText="1"/>
    </xf>
    <xf numFmtId="2" fontId="8" fillId="0" borderId="23" xfId="40" quotePrefix="1" applyNumberFormat="1" applyFont="1" applyBorder="1" applyAlignment="1">
      <alignment horizontal="right" vertical="top" wrapText="1"/>
    </xf>
    <xf numFmtId="2" fontId="8" fillId="0" borderId="21" xfId="28" quotePrefix="1" applyNumberFormat="1" applyFont="1" applyBorder="1" applyAlignment="1">
      <alignment horizontal="left" vertical="top" wrapText="1"/>
    </xf>
    <xf numFmtId="2" fontId="8" fillId="0" borderId="1" xfId="40" quotePrefix="1" applyNumberFormat="1" applyFont="1" applyBorder="1" applyAlignment="1">
      <alignment horizontal="right" vertical="top" wrapText="1"/>
    </xf>
    <xf numFmtId="2" fontId="8" fillId="0" borderId="18" xfId="40" quotePrefix="1" applyNumberFormat="1" applyFont="1" applyBorder="1" applyAlignment="1">
      <alignment horizontal="right" vertical="top" wrapText="1"/>
    </xf>
    <xf numFmtId="2" fontId="8" fillId="0" borderId="25" xfId="28" quotePrefix="1" applyNumberFormat="1" applyFont="1" applyBorder="1" applyAlignment="1">
      <alignment horizontal="left" vertical="top" wrapText="1"/>
    </xf>
    <xf numFmtId="166" fontId="7" fillId="0" borderId="16" xfId="22" quotePrefix="1" applyNumberFormat="1" applyBorder="1" applyAlignment="1">
      <alignment horizontal="left" vertical="top" wrapText="1"/>
    </xf>
    <xf numFmtId="166" fontId="7" fillId="0" borderId="1" xfId="22" quotePrefix="1" applyNumberFormat="1" applyBorder="1" applyAlignment="1">
      <alignment horizontal="left" vertical="top" wrapText="1"/>
    </xf>
    <xf numFmtId="166" fontId="8" fillId="0" borderId="1" xfId="22" quotePrefix="1" applyNumberFormat="1" applyFont="1" applyBorder="1" applyAlignment="1">
      <alignment horizontal="right" vertical="top" wrapText="1"/>
    </xf>
    <xf numFmtId="166" fontId="8" fillId="0" borderId="17" xfId="22" quotePrefix="1" applyNumberFormat="1" applyFont="1" applyBorder="1" applyAlignment="1">
      <alignment horizontal="right" vertical="top" wrapText="1"/>
    </xf>
    <xf numFmtId="166" fontId="8" fillId="0" borderId="2" xfId="22" quotePrefix="1" applyNumberFormat="1" applyFont="1" applyBorder="1" applyAlignment="1">
      <alignment horizontal="left" vertical="top" wrapText="1"/>
    </xf>
    <xf numFmtId="166" fontId="8" fillId="0" borderId="1" xfId="22" quotePrefix="1" applyNumberFormat="1" applyFont="1" applyBorder="1" applyAlignment="1">
      <alignment horizontal="left" vertical="top" wrapText="1"/>
    </xf>
    <xf numFmtId="166" fontId="8" fillId="0" borderId="3" xfId="22" quotePrefix="1" applyNumberFormat="1" applyFont="1" applyBorder="1" applyAlignment="1">
      <alignment horizontal="right" vertical="top" wrapText="1"/>
    </xf>
    <xf numFmtId="166" fontId="8" fillId="0" borderId="16" xfId="22" quotePrefix="1" applyNumberFormat="1" applyFont="1" applyBorder="1" applyAlignment="1">
      <alignment horizontal="right" vertical="top" wrapText="1"/>
    </xf>
    <xf numFmtId="166" fontId="7" fillId="0" borderId="17" xfId="22" quotePrefix="1" applyNumberFormat="1" applyBorder="1" applyAlignment="1">
      <alignment horizontal="left" vertical="top" wrapText="1"/>
    </xf>
    <xf numFmtId="166" fontId="8" fillId="0" borderId="3" xfId="22" quotePrefix="1" applyNumberFormat="1" applyFont="1" applyBorder="1" applyAlignment="1">
      <alignment horizontal="left" vertical="top" wrapText="1"/>
    </xf>
    <xf numFmtId="166" fontId="8" fillId="0" borderId="16" xfId="22" quotePrefix="1" applyNumberFormat="1" applyFont="1" applyFill="1" applyBorder="1" applyAlignment="1">
      <alignment horizontal="left" vertical="top" wrapText="1"/>
    </xf>
    <xf numFmtId="166" fontId="8" fillId="0" borderId="1" xfId="22" quotePrefix="1" applyNumberFormat="1" applyFont="1" applyFill="1" applyBorder="1" applyAlignment="1">
      <alignment horizontal="left" vertical="top" wrapText="1"/>
    </xf>
    <xf numFmtId="166" fontId="8" fillId="0" borderId="17" xfId="22" quotePrefix="1" applyNumberFormat="1" applyFont="1" applyFill="1" applyBorder="1" applyAlignment="1">
      <alignment horizontal="left" vertical="top" wrapText="1"/>
    </xf>
    <xf numFmtId="166" fontId="12" fillId="0" borderId="0" xfId="46" applyNumberFormat="1" applyFont="1" applyAlignment="1">
      <alignment horizontal="left" vertical="top" wrapText="1"/>
    </xf>
    <xf numFmtId="166" fontId="12" fillId="0" borderId="5" xfId="46" applyNumberFormat="1" applyFont="1" applyBorder="1" applyAlignment="1">
      <alignment horizontal="left" vertical="top" wrapText="1"/>
    </xf>
    <xf numFmtId="1" fontId="8" fillId="0" borderId="16" xfId="31" applyNumberFormat="1" applyFont="1" applyBorder="1" applyAlignment="1">
      <alignment horizontal="right" vertical="top" wrapText="1"/>
    </xf>
    <xf numFmtId="1" fontId="8" fillId="0" borderId="24" xfId="31" applyNumberFormat="1" applyFont="1" applyBorder="1" applyAlignment="1">
      <alignment horizontal="right" vertical="top" wrapText="1"/>
    </xf>
    <xf numFmtId="1" fontId="8" fillId="0" borderId="22" xfId="31" applyNumberFormat="1" applyFont="1" applyBorder="1" applyAlignment="1">
      <alignment horizontal="right" vertical="top" wrapText="1"/>
    </xf>
    <xf numFmtId="166" fontId="7" fillId="0" borderId="35" xfId="22" quotePrefix="1" applyNumberFormat="1" applyBorder="1" applyAlignment="1">
      <alignment horizontal="left" vertical="top" wrapText="1"/>
    </xf>
    <xf numFmtId="0" fontId="3" fillId="4" borderId="0" xfId="58" applyFill="1" applyAlignment="1">
      <alignment wrapText="1"/>
    </xf>
    <xf numFmtId="168" fontId="50" fillId="4" borderId="1" xfId="0" applyNumberFormat="1" applyFont="1" applyFill="1" applyBorder="1"/>
    <xf numFmtId="0" fontId="9" fillId="4" borderId="0" xfId="44" quotePrefix="1" applyFill="1" applyBorder="1" applyAlignment="1">
      <alignment vertical="top" wrapText="1"/>
    </xf>
    <xf numFmtId="0" fontId="9" fillId="4" borderId="0" xfId="44" applyFill="1" applyBorder="1" applyAlignment="1">
      <alignment vertical="top" wrapText="1"/>
    </xf>
    <xf numFmtId="0" fontId="52" fillId="4" borderId="0" xfId="61" applyFont="1" applyFill="1" applyAlignment="1">
      <alignment horizontal="left" vertical="center"/>
    </xf>
    <xf numFmtId="0" fontId="23" fillId="4" borderId="0" xfId="64" applyFont="1" applyFill="1" applyAlignment="1" applyProtection="1">
      <alignment horizontal="left" vertical="center"/>
      <protection locked="0"/>
    </xf>
    <xf numFmtId="49" fontId="24" fillId="0" borderId="36" xfId="0" applyNumberFormat="1" applyFont="1" applyBorder="1" applyAlignment="1">
      <alignment horizontal="center" vertical="center" wrapText="1"/>
    </xf>
    <xf numFmtId="0" fontId="25" fillId="0" borderId="37" xfId="0" applyFont="1" applyBorder="1" applyAlignment="1">
      <alignment wrapText="1"/>
    </xf>
    <xf numFmtId="49" fontId="24" fillId="0" borderId="1" xfId="0" applyNumberFormat="1" applyFont="1" applyBorder="1" applyAlignment="1">
      <alignment horizontal="center" vertical="center" wrapText="1"/>
    </xf>
    <xf numFmtId="168" fontId="3" fillId="0" borderId="0" xfId="58" applyNumberFormat="1" applyAlignment="1">
      <alignment wrapText="1"/>
    </xf>
    <xf numFmtId="49" fontId="50" fillId="0" borderId="3" xfId="0" applyNumberFormat="1" applyFont="1" applyBorder="1" applyAlignment="1" applyProtection="1">
      <alignment horizontal="left" vertical="center" wrapText="1"/>
      <protection locked="0"/>
    </xf>
    <xf numFmtId="0" fontId="50" fillId="4" borderId="3" xfId="0" applyFont="1" applyFill="1" applyBorder="1"/>
    <xf numFmtId="0" fontId="50" fillId="4" borderId="3" xfId="0" applyFont="1" applyFill="1" applyBorder="1" applyAlignment="1">
      <alignment wrapText="1"/>
    </xf>
    <xf numFmtId="0" fontId="50" fillId="4" borderId="27" xfId="0" applyFont="1" applyFill="1" applyBorder="1" applyAlignment="1">
      <alignment wrapText="1"/>
    </xf>
    <xf numFmtId="0" fontId="7" fillId="0" borderId="19" xfId="22" quotePrefix="1" applyBorder="1" applyAlignment="1">
      <alignment horizontal="left" vertical="top" wrapText="1"/>
    </xf>
    <xf numFmtId="0" fontId="7" fillId="0" borderId="20" xfId="22" quotePrefix="1" applyBorder="1" applyAlignment="1">
      <alignment horizontal="left" vertical="top" wrapText="1"/>
    </xf>
    <xf numFmtId="0" fontId="7" fillId="0" borderId="26" xfId="22" quotePrefix="1" applyBorder="1" applyAlignment="1">
      <alignment horizontal="left" vertical="top" wrapText="1"/>
    </xf>
    <xf numFmtId="168" fontId="50" fillId="4" borderId="16" xfId="0" applyNumberFormat="1" applyFont="1" applyFill="1" applyBorder="1"/>
    <xf numFmtId="168" fontId="3" fillId="4" borderId="0" xfId="58" applyNumberFormat="1" applyFill="1" applyAlignment="1">
      <alignment wrapText="1"/>
    </xf>
    <xf numFmtId="0" fontId="4" fillId="0" borderId="0" xfId="50" quotePrefix="1" applyBorder="1" applyAlignment="1">
      <alignment horizontal="center" vertical="center" wrapText="1"/>
    </xf>
    <xf numFmtId="0" fontId="4" fillId="0" borderId="0" xfId="39" quotePrefix="1" applyBorder="1" applyAlignment="1">
      <alignment horizontal="center" vertical="center" wrapText="1"/>
    </xf>
    <xf numFmtId="0" fontId="8" fillId="4" borderId="0" xfId="47" quotePrefix="1" applyFill="1" applyAlignment="1">
      <alignment horizontal="center" vertical="center" wrapText="1"/>
    </xf>
    <xf numFmtId="0" fontId="8" fillId="0" borderId="0" xfId="47" quotePrefix="1" applyAlignment="1">
      <alignment horizontal="center" vertical="center" wrapText="1"/>
    </xf>
    <xf numFmtId="0" fontId="50" fillId="0" borderId="3" xfId="0" applyFont="1" applyFill="1" applyBorder="1" applyAlignment="1">
      <alignment vertical="center"/>
    </xf>
    <xf numFmtId="1" fontId="8" fillId="0" borderId="16" xfId="26" applyNumberFormat="1" applyFont="1" applyFill="1" applyBorder="1" applyAlignment="1">
      <alignment horizontal="right" vertical="top" wrapText="1"/>
    </xf>
    <xf numFmtId="166" fontId="8" fillId="0" borderId="2" xfId="22" quotePrefix="1" applyNumberFormat="1" applyFont="1" applyFill="1" applyBorder="1" applyAlignment="1">
      <alignment horizontal="right" vertical="top" wrapText="1"/>
    </xf>
    <xf numFmtId="166" fontId="8" fillId="0" borderId="1" xfId="22" quotePrefix="1" applyNumberFormat="1" applyFont="1" applyFill="1" applyBorder="1" applyAlignment="1">
      <alignment horizontal="right" vertical="top" wrapText="1"/>
    </xf>
    <xf numFmtId="166" fontId="8" fillId="0" borderId="3" xfId="22" quotePrefix="1" applyNumberFormat="1" applyFont="1" applyFill="1" applyBorder="1" applyAlignment="1">
      <alignment horizontal="right" vertical="top" wrapText="1"/>
    </xf>
    <xf numFmtId="49" fontId="24" fillId="0" borderId="1" xfId="0" applyNumberFormat="1" applyFont="1" applyBorder="1" applyAlignment="1">
      <alignment horizontal="center" vertical="top" wrapText="1"/>
    </xf>
    <xf numFmtId="49" fontId="24" fillId="0" borderId="37" xfId="0" applyNumberFormat="1" applyFont="1" applyBorder="1" applyAlignment="1">
      <alignment horizontal="center" vertical="center" wrapText="1"/>
    </xf>
    <xf numFmtId="49" fontId="24" fillId="0" borderId="1" xfId="0" applyNumberFormat="1" applyFont="1" applyFill="1" applyBorder="1" applyAlignment="1">
      <alignment horizontal="center" vertical="top" wrapText="1"/>
    </xf>
    <xf numFmtId="0" fontId="25" fillId="0" borderId="38" xfId="0" applyFont="1" applyFill="1" applyBorder="1" applyAlignment="1">
      <alignment vertical="top" wrapText="1"/>
    </xf>
    <xf numFmtId="0" fontId="8" fillId="0" borderId="39" xfId="16" applyNumberFormat="1" applyFont="1" applyBorder="1" applyAlignment="1">
      <alignment horizontal="center" vertical="center" wrapText="1"/>
    </xf>
    <xf numFmtId="0" fontId="8" fillId="0" borderId="40" xfId="17" applyNumberFormat="1" applyFont="1" applyBorder="1" applyAlignment="1">
      <alignment horizontal="center" vertical="center" wrapText="1"/>
    </xf>
    <xf numFmtId="0" fontId="8" fillId="0" borderId="41" xfId="18" applyNumberFormat="1" applyFont="1" applyBorder="1" applyAlignment="1">
      <alignment horizontal="center" vertical="center" wrapText="1"/>
    </xf>
    <xf numFmtId="166" fontId="7" fillId="0" borderId="42" xfId="22" quotePrefix="1" applyNumberFormat="1" applyBorder="1" applyAlignment="1">
      <alignment horizontal="left" vertical="top" wrapText="1"/>
    </xf>
    <xf numFmtId="166" fontId="7" fillId="0" borderId="43" xfId="22" quotePrefix="1" applyNumberFormat="1" applyBorder="1" applyAlignment="1">
      <alignment horizontal="left" vertical="top" wrapText="1"/>
    </xf>
    <xf numFmtId="166" fontId="7" fillId="0" borderId="44" xfId="22" quotePrefix="1" applyNumberFormat="1" applyBorder="1" applyAlignment="1">
      <alignment horizontal="left" vertical="top" wrapText="1"/>
    </xf>
    <xf numFmtId="1" fontId="8" fillId="0" borderId="22" xfId="26" applyNumberFormat="1" applyFont="1" applyBorder="1" applyAlignment="1">
      <alignment horizontal="right" vertical="top" wrapText="1"/>
    </xf>
    <xf numFmtId="49" fontId="24" fillId="0" borderId="23" xfId="0" applyNumberFormat="1" applyFont="1" applyBorder="1" applyAlignment="1">
      <alignment horizontal="center" vertical="top" wrapText="1"/>
    </xf>
    <xf numFmtId="0" fontId="25" fillId="0" borderId="45" xfId="0" applyFont="1" applyFill="1" applyBorder="1" applyAlignment="1">
      <alignment vertical="top" wrapText="1"/>
    </xf>
    <xf numFmtId="166" fontId="8" fillId="0" borderId="4" xfId="25" applyNumberFormat="1" applyFont="1" applyFill="1" applyBorder="1" applyAlignment="1">
      <alignment horizontal="right" vertical="top" wrapText="1"/>
    </xf>
    <xf numFmtId="166" fontId="8" fillId="0" borderId="40" xfId="25" applyNumberFormat="1" applyFont="1" applyFill="1" applyBorder="1" applyAlignment="1">
      <alignment horizontal="right" vertical="top" wrapText="1"/>
    </xf>
    <xf numFmtId="166" fontId="8" fillId="0" borderId="29" xfId="25" applyNumberFormat="1" applyFont="1" applyFill="1" applyBorder="1" applyAlignment="1">
      <alignment horizontal="right" vertical="top" wrapText="1"/>
    </xf>
    <xf numFmtId="166" fontId="8" fillId="0" borderId="46" xfId="25" applyNumberFormat="1" applyFont="1" applyFill="1" applyBorder="1" applyAlignment="1">
      <alignment horizontal="right" vertical="top" wrapText="1"/>
    </xf>
    <xf numFmtId="166" fontId="8" fillId="0" borderId="47" xfId="25" applyNumberFormat="1" applyFont="1" applyFill="1" applyBorder="1" applyAlignment="1">
      <alignment horizontal="right" vertical="top" wrapText="1"/>
    </xf>
    <xf numFmtId="169" fontId="16" fillId="0" borderId="16" xfId="22" quotePrefix="1" applyNumberFormat="1" applyFont="1" applyBorder="1" applyAlignment="1">
      <alignment horizontal="left" vertical="top" wrapText="1"/>
    </xf>
    <xf numFmtId="169" fontId="16" fillId="0" borderId="1" xfId="22" quotePrefix="1" applyNumberFormat="1" applyFont="1" applyBorder="1" applyAlignment="1">
      <alignment horizontal="left" vertical="top" wrapText="1"/>
    </xf>
    <xf numFmtId="169" fontId="16" fillId="0" borderId="17" xfId="22" quotePrefix="1" applyNumberFormat="1" applyFont="1" applyBorder="1" applyAlignment="1">
      <alignment horizontal="left" vertical="top" wrapText="1"/>
    </xf>
    <xf numFmtId="0" fontId="3" fillId="4" borderId="0" xfId="58" applyFill="1" applyAlignment="1">
      <alignment vertical="top" wrapText="1"/>
    </xf>
    <xf numFmtId="0" fontId="3" fillId="4" borderId="0" xfId="58" applyFill="1" applyAlignment="1">
      <alignment horizontal="center" vertical="top" wrapText="1"/>
    </xf>
    <xf numFmtId="0" fontId="25" fillId="0" borderId="48" xfId="0" applyFont="1" applyFill="1" applyBorder="1" applyAlignment="1">
      <alignment vertical="top" wrapText="1"/>
    </xf>
    <xf numFmtId="168" fontId="13" fillId="4" borderId="16" xfId="25" applyNumberFormat="1" applyFont="1" applyFill="1" applyBorder="1" applyAlignment="1">
      <alignment horizontal="right" vertical="top" wrapText="1"/>
    </xf>
    <xf numFmtId="168" fontId="13" fillId="4" borderId="1" xfId="25" applyNumberFormat="1" applyFont="1" applyFill="1" applyBorder="1" applyAlignment="1">
      <alignment horizontal="right" vertical="top" wrapText="1"/>
    </xf>
    <xf numFmtId="168" fontId="13" fillId="4" borderId="17" xfId="25" applyNumberFormat="1" applyFont="1" applyFill="1" applyBorder="1" applyAlignment="1">
      <alignment horizontal="right" vertical="top" wrapText="1"/>
    </xf>
    <xf numFmtId="168" fontId="27" fillId="4" borderId="16" xfId="25" applyNumberFormat="1" applyFont="1" applyFill="1" applyBorder="1" applyAlignment="1">
      <alignment horizontal="right" vertical="top" wrapText="1"/>
    </xf>
    <xf numFmtId="168" fontId="27" fillId="4" borderId="1" xfId="25" applyNumberFormat="1" applyFont="1" applyFill="1" applyBorder="1" applyAlignment="1">
      <alignment horizontal="right" vertical="top" wrapText="1"/>
    </xf>
    <xf numFmtId="168" fontId="13" fillId="4" borderId="16" xfId="29" applyNumberFormat="1" applyFont="1" applyFill="1" applyBorder="1" applyAlignment="1">
      <alignment horizontal="right" vertical="top" wrapText="1"/>
    </xf>
    <xf numFmtId="168" fontId="13" fillId="4" borderId="1" xfId="29" applyNumberFormat="1" applyFont="1" applyFill="1" applyBorder="1" applyAlignment="1">
      <alignment horizontal="right" vertical="top" wrapText="1"/>
    </xf>
    <xf numFmtId="168" fontId="28" fillId="4" borderId="16" xfId="22" quotePrefix="1" applyNumberFormat="1" applyFont="1" applyFill="1" applyBorder="1" applyAlignment="1">
      <alignment horizontal="left" vertical="top" wrapText="1"/>
    </xf>
    <xf numFmtId="168" fontId="28" fillId="4" borderId="1" xfId="22" quotePrefix="1" applyNumberFormat="1" applyFont="1" applyFill="1" applyBorder="1" applyAlignment="1">
      <alignment horizontal="left" vertical="top" wrapText="1"/>
    </xf>
    <xf numFmtId="168" fontId="27" fillId="4" borderId="16" xfId="29" applyNumberFormat="1" applyFont="1" applyFill="1" applyBorder="1" applyAlignment="1">
      <alignment horizontal="right" vertical="top" wrapText="1"/>
    </xf>
    <xf numFmtId="168" fontId="27" fillId="4" borderId="1" xfId="29" applyNumberFormat="1" applyFont="1" applyFill="1" applyBorder="1" applyAlignment="1">
      <alignment horizontal="right" vertical="top" wrapText="1"/>
    </xf>
    <xf numFmtId="168" fontId="13" fillId="4" borderId="17" xfId="29" applyNumberFormat="1" applyFont="1" applyFill="1" applyBorder="1" applyAlignment="1">
      <alignment horizontal="right" vertical="top" wrapText="1"/>
    </xf>
    <xf numFmtId="168" fontId="27" fillId="4" borderId="17" xfId="29" applyNumberFormat="1" applyFont="1" applyFill="1" applyBorder="1" applyAlignment="1">
      <alignment horizontal="right" vertical="top" wrapText="1"/>
    </xf>
    <xf numFmtId="168" fontId="29" fillId="4" borderId="16" xfId="58" applyNumberFormat="1" applyFont="1" applyFill="1" applyBorder="1" applyAlignment="1">
      <alignment wrapText="1"/>
    </xf>
    <xf numFmtId="168" fontId="29" fillId="4" borderId="1" xfId="58" applyNumberFormat="1" applyFont="1" applyFill="1" applyBorder="1" applyAlignment="1">
      <alignment wrapText="1"/>
    </xf>
    <xf numFmtId="168" fontId="30" fillId="4" borderId="17" xfId="29" applyNumberFormat="1" applyFont="1" applyFill="1" applyBorder="1" applyAlignment="1">
      <alignment horizontal="right" vertical="top" wrapText="1"/>
    </xf>
    <xf numFmtId="168" fontId="30" fillId="4" borderId="31" xfId="29" applyNumberFormat="1" applyFont="1" applyFill="1" applyBorder="1" applyAlignment="1">
      <alignment horizontal="right" vertical="top" wrapText="1"/>
    </xf>
    <xf numFmtId="168" fontId="30" fillId="4" borderId="1" xfId="29" applyNumberFormat="1" applyFont="1" applyFill="1" applyBorder="1" applyAlignment="1">
      <alignment horizontal="right" vertical="top" wrapText="1"/>
    </xf>
    <xf numFmtId="168" fontId="28" fillId="4" borderId="16" xfId="29" applyNumberFormat="1" applyFont="1" applyFill="1" applyBorder="1" applyAlignment="1">
      <alignment horizontal="right" vertical="top" wrapText="1"/>
    </xf>
    <xf numFmtId="168" fontId="28" fillId="4" borderId="1" xfId="29" applyNumberFormat="1" applyFont="1" applyFill="1" applyBorder="1" applyAlignment="1">
      <alignment horizontal="right" vertical="top" wrapText="1"/>
    </xf>
    <xf numFmtId="168" fontId="28" fillId="4" borderId="17" xfId="29" applyNumberFormat="1" applyFont="1" applyFill="1" applyBorder="1" applyAlignment="1">
      <alignment horizontal="right" vertical="top" wrapText="1"/>
    </xf>
    <xf numFmtId="168" fontId="13" fillId="4" borderId="16" xfId="29" applyNumberFormat="1" applyFont="1" applyFill="1" applyBorder="1" applyAlignment="1">
      <alignment horizontal="right" vertical="center" wrapText="1"/>
    </xf>
    <xf numFmtId="168" fontId="13" fillId="4" borderId="1" xfId="29" applyNumberFormat="1" applyFont="1" applyFill="1" applyBorder="1" applyAlignment="1">
      <alignment horizontal="right" vertical="center" wrapText="1"/>
    </xf>
    <xf numFmtId="168" fontId="27" fillId="4" borderId="24" xfId="29" applyNumberFormat="1" applyFont="1" applyFill="1" applyBorder="1" applyAlignment="1">
      <alignment horizontal="right" vertical="top" wrapText="1"/>
    </xf>
    <xf numFmtId="168" fontId="27" fillId="4" borderId="18" xfId="29" applyNumberFormat="1" applyFont="1" applyFill="1" applyBorder="1" applyAlignment="1">
      <alignment horizontal="right" vertical="top" wrapText="1"/>
    </xf>
    <xf numFmtId="168" fontId="27" fillId="4" borderId="25" xfId="29" applyNumberFormat="1" applyFont="1" applyFill="1" applyBorder="1" applyAlignment="1">
      <alignment horizontal="right" vertical="top" wrapText="1"/>
    </xf>
    <xf numFmtId="0" fontId="30" fillId="0" borderId="16" xfId="26" applyNumberFormat="1" applyFont="1" applyBorder="1" applyAlignment="1">
      <alignment horizontal="center" vertical="center" wrapText="1"/>
    </xf>
    <xf numFmtId="0" fontId="30" fillId="4" borderId="16" xfId="26" applyNumberFormat="1" applyFont="1" applyFill="1" applyBorder="1" applyAlignment="1">
      <alignment horizontal="center" vertical="center" wrapText="1"/>
    </xf>
    <xf numFmtId="49" fontId="27" fillId="0" borderId="1" xfId="0" applyNumberFormat="1" applyFont="1" applyBorder="1" applyAlignment="1">
      <alignment horizontal="center" vertical="center" wrapText="1"/>
    </xf>
    <xf numFmtId="0" fontId="31" fillId="0" borderId="3" xfId="0" applyFont="1" applyBorder="1" applyAlignment="1">
      <alignment wrapText="1"/>
    </xf>
    <xf numFmtId="2" fontId="32" fillId="0" borderId="1" xfId="23" applyNumberFormat="1" applyFont="1" applyFill="1" applyBorder="1" applyAlignment="1">
      <alignment horizontal="left" vertical="top" wrapText="1"/>
    </xf>
    <xf numFmtId="2" fontId="32" fillId="0" borderId="3" xfId="24" applyNumberFormat="1" applyFont="1" applyFill="1" applyBorder="1" applyAlignment="1">
      <alignment horizontal="left" vertical="top" wrapText="1"/>
    </xf>
    <xf numFmtId="49" fontId="50" fillId="0" borderId="1" xfId="0" applyNumberFormat="1" applyFont="1" applyBorder="1" applyAlignment="1" applyProtection="1">
      <alignment horizontal="center" vertical="center" wrapText="1"/>
      <protection locked="0"/>
    </xf>
    <xf numFmtId="0" fontId="28" fillId="0" borderId="16" xfId="22" applyFont="1" applyBorder="1" applyAlignment="1">
      <alignment horizontal="center" vertical="center" wrapText="1"/>
    </xf>
    <xf numFmtId="0" fontId="30" fillId="0" borderId="3" xfId="28" quotePrefix="1" applyFont="1" applyBorder="1" applyAlignment="1">
      <alignment horizontal="left" vertical="top" wrapText="1"/>
    </xf>
    <xf numFmtId="0" fontId="30" fillId="0" borderId="16" xfId="31" applyNumberFormat="1" applyFont="1" applyBorder="1" applyAlignment="1">
      <alignment horizontal="center" vertical="center" wrapText="1"/>
    </xf>
    <xf numFmtId="0" fontId="30" fillId="0" borderId="1" xfId="30" quotePrefix="1" applyFont="1" applyBorder="1" applyAlignment="1">
      <alignment horizontal="center" vertical="center" wrapText="1"/>
    </xf>
    <xf numFmtId="0" fontId="30" fillId="0" borderId="3" xfId="36" quotePrefix="1" applyFont="1" applyBorder="1" applyAlignment="1">
      <alignment horizontal="left" vertical="top" wrapText="1"/>
    </xf>
    <xf numFmtId="0" fontId="31" fillId="0" borderId="1" xfId="0" applyFont="1" applyBorder="1" applyAlignment="1">
      <alignment wrapText="1"/>
    </xf>
    <xf numFmtId="49" fontId="50" fillId="4" borderId="1" xfId="0" applyNumberFormat="1" applyFont="1" applyFill="1" applyBorder="1" applyAlignment="1" applyProtection="1">
      <alignment horizontal="center" vertical="center" wrapText="1"/>
      <protection locked="0"/>
    </xf>
    <xf numFmtId="2" fontId="32" fillId="4" borderId="3" xfId="28" quotePrefix="1" applyNumberFormat="1" applyFont="1" applyFill="1" applyBorder="1" applyAlignment="1">
      <alignment horizontal="left" vertical="top" wrapText="1"/>
    </xf>
    <xf numFmtId="0" fontId="30" fillId="4" borderId="16" xfId="31" applyNumberFormat="1" applyFont="1" applyFill="1" applyBorder="1" applyAlignment="1">
      <alignment horizontal="center" vertical="center" wrapText="1"/>
    </xf>
    <xf numFmtId="1" fontId="32" fillId="4" borderId="16" xfId="31" applyNumberFormat="1" applyFont="1" applyFill="1" applyBorder="1" applyAlignment="1">
      <alignment horizontal="center" vertical="center" wrapText="1"/>
    </xf>
    <xf numFmtId="2" fontId="32" fillId="4" borderId="1" xfId="32" applyNumberFormat="1" applyFont="1" applyFill="1" applyBorder="1" applyAlignment="1">
      <alignment vertical="center" wrapText="1"/>
    </xf>
    <xf numFmtId="49" fontId="27" fillId="0" borderId="37" xfId="0" applyNumberFormat="1" applyFont="1" applyBorder="1" applyAlignment="1">
      <alignment horizontal="center" vertical="center" wrapText="1"/>
    </xf>
    <xf numFmtId="2" fontId="32" fillId="4" borderId="3" xfId="28" applyNumberFormat="1" applyFont="1" applyFill="1" applyBorder="1" applyAlignment="1">
      <alignment horizontal="left" vertical="top" wrapText="1"/>
    </xf>
    <xf numFmtId="0" fontId="32" fillId="4" borderId="16" xfId="31" applyNumberFormat="1" applyFont="1" applyFill="1" applyBorder="1" applyAlignment="1">
      <alignment horizontal="center" vertical="center" wrapText="1"/>
    </xf>
    <xf numFmtId="0" fontId="32" fillId="4" borderId="1" xfId="30" quotePrefix="1" applyFont="1" applyFill="1" applyBorder="1" applyAlignment="1">
      <alignment horizontal="center" vertical="center" wrapText="1"/>
    </xf>
    <xf numFmtId="0" fontId="32" fillId="4" borderId="1" xfId="40" quotePrefix="1" applyFont="1" applyFill="1" applyBorder="1" applyAlignment="1">
      <alignment horizontal="center" vertical="center" wrapText="1"/>
    </xf>
    <xf numFmtId="0" fontId="32" fillId="4" borderId="24" xfId="31" applyNumberFormat="1" applyFont="1" applyFill="1" applyBorder="1" applyAlignment="1">
      <alignment horizontal="center" vertical="center" wrapText="1"/>
    </xf>
    <xf numFmtId="0" fontId="32" fillId="4" borderId="18" xfId="40" quotePrefix="1" applyFont="1" applyFill="1" applyBorder="1" applyAlignment="1">
      <alignment horizontal="center" vertical="center" wrapText="1"/>
    </xf>
    <xf numFmtId="166" fontId="10" fillId="5" borderId="1" xfId="46" quotePrefix="1" applyNumberFormat="1" applyFont="1" applyFill="1" applyBorder="1" applyAlignment="1">
      <alignment horizontal="left" vertical="center" wrapText="1"/>
    </xf>
    <xf numFmtId="166" fontId="10" fillId="6" borderId="1" xfId="46" quotePrefix="1" applyNumberFormat="1" applyFont="1" applyFill="1" applyBorder="1" applyAlignment="1">
      <alignment horizontal="left" vertical="center" wrapText="1"/>
    </xf>
    <xf numFmtId="168" fontId="27" fillId="0" borderId="17" xfId="25" applyNumberFormat="1" applyFont="1" applyFill="1" applyBorder="1" applyAlignment="1">
      <alignment horizontal="right" vertical="top" wrapText="1"/>
    </xf>
    <xf numFmtId="168" fontId="13" fillId="0" borderId="17" xfId="25" applyNumberFormat="1" applyFont="1" applyFill="1" applyBorder="1" applyAlignment="1">
      <alignment horizontal="right" vertical="top" wrapText="1"/>
    </xf>
    <xf numFmtId="168" fontId="28" fillId="0" borderId="17" xfId="22" quotePrefix="1" applyNumberFormat="1" applyFont="1" applyFill="1" applyBorder="1" applyAlignment="1">
      <alignment horizontal="left" vertical="top" wrapText="1"/>
    </xf>
    <xf numFmtId="166" fontId="8" fillId="0" borderId="16" xfId="22" quotePrefix="1" applyNumberFormat="1" applyFont="1" applyFill="1" applyBorder="1" applyAlignment="1">
      <alignment horizontal="right" vertical="top" wrapText="1"/>
    </xf>
    <xf numFmtId="166" fontId="8" fillId="0" borderId="25" xfId="25" applyNumberFormat="1" applyFont="1" applyFill="1" applyBorder="1" applyAlignment="1">
      <alignment horizontal="right" vertical="top" wrapText="1"/>
    </xf>
    <xf numFmtId="166" fontId="8" fillId="0" borderId="27" xfId="25" applyNumberFormat="1" applyFont="1" applyFill="1" applyBorder="1" applyAlignment="1">
      <alignment horizontal="right" vertical="top" wrapText="1"/>
    </xf>
    <xf numFmtId="166" fontId="7" fillId="0" borderId="5" xfId="22" quotePrefix="1" applyNumberFormat="1" applyFill="1" applyBorder="1" applyAlignment="1">
      <alignment horizontal="left" vertical="top" wrapText="1"/>
    </xf>
    <xf numFmtId="166" fontId="7" fillId="0" borderId="0" xfId="22" quotePrefix="1" applyNumberFormat="1" applyFill="1" applyBorder="1" applyAlignment="1">
      <alignment horizontal="left" vertical="top" wrapText="1"/>
    </xf>
    <xf numFmtId="166" fontId="7" fillId="0" borderId="35" xfId="22" quotePrefix="1" applyNumberFormat="1" applyFill="1" applyBorder="1" applyAlignment="1">
      <alignment horizontal="left" vertical="top" wrapText="1"/>
    </xf>
    <xf numFmtId="166" fontId="8" fillId="0" borderId="48" xfId="29" applyNumberFormat="1" applyFont="1" applyFill="1" applyBorder="1" applyAlignment="1">
      <alignment horizontal="right" vertical="top" wrapText="1"/>
    </xf>
    <xf numFmtId="166" fontId="7" fillId="0" borderId="42" xfId="22" quotePrefix="1" applyNumberFormat="1" applyFill="1" applyBorder="1" applyAlignment="1">
      <alignment horizontal="left" vertical="top" wrapText="1"/>
    </xf>
    <xf numFmtId="166" fontId="7" fillId="0" borderId="33" xfId="22" quotePrefix="1" applyNumberFormat="1" applyFill="1" applyBorder="1" applyAlignment="1">
      <alignment horizontal="left" vertical="top" wrapText="1"/>
    </xf>
    <xf numFmtId="166" fontId="7" fillId="0" borderId="43" xfId="22" quotePrefix="1" applyNumberFormat="1" applyFill="1" applyBorder="1" applyAlignment="1">
      <alignment horizontal="left" vertical="top" wrapText="1"/>
    </xf>
    <xf numFmtId="166" fontId="7" fillId="0" borderId="13" xfId="22" quotePrefix="1" applyNumberFormat="1" applyFill="1" applyBorder="1" applyAlignment="1">
      <alignment horizontal="left" vertical="top" wrapText="1"/>
    </xf>
    <xf numFmtId="166" fontId="7" fillId="0" borderId="44" xfId="22" quotePrefix="1" applyNumberFormat="1" applyFill="1" applyBorder="1" applyAlignment="1">
      <alignment horizontal="left" vertical="top" wrapText="1"/>
    </xf>
    <xf numFmtId="166" fontId="7" fillId="0" borderId="6" xfId="22" quotePrefix="1" applyNumberFormat="1" applyFill="1" applyBorder="1" applyAlignment="1">
      <alignment horizontal="left" vertical="top" wrapText="1"/>
    </xf>
    <xf numFmtId="166" fontId="7" fillId="0" borderId="49" xfId="22" quotePrefix="1" applyNumberFormat="1" applyFill="1" applyBorder="1" applyAlignment="1">
      <alignment horizontal="left" vertical="top" wrapText="1"/>
    </xf>
    <xf numFmtId="166" fontId="7" fillId="0" borderId="50" xfId="22" quotePrefix="1" applyNumberFormat="1" applyFill="1" applyBorder="1" applyAlignment="1">
      <alignment horizontal="left" vertical="top" wrapText="1"/>
    </xf>
    <xf numFmtId="166" fontId="8" fillId="0" borderId="51" xfId="29" applyNumberFormat="1" applyFont="1" applyFill="1" applyBorder="1" applyAlignment="1">
      <alignment horizontal="right" vertical="top" wrapText="1"/>
    </xf>
    <xf numFmtId="166" fontId="8" fillId="0" borderId="20" xfId="29" applyNumberFormat="1" applyFont="1" applyFill="1" applyBorder="1" applyAlignment="1">
      <alignment horizontal="right" vertical="top" wrapText="1"/>
    </xf>
    <xf numFmtId="166" fontId="8" fillId="0" borderId="26" xfId="29" applyNumberFormat="1" applyFont="1" applyFill="1" applyBorder="1" applyAlignment="1">
      <alignment horizontal="right" vertical="top" wrapText="1"/>
    </xf>
    <xf numFmtId="0" fontId="3" fillId="4" borderId="0" xfId="58" applyFill="1" applyBorder="1" applyAlignment="1">
      <alignment wrapText="1"/>
    </xf>
    <xf numFmtId="0" fontId="12" fillId="0" borderId="0" xfId="0" applyFont="1" applyFill="1" applyBorder="1" applyAlignment="1">
      <alignment horizontal="right" vertical="top" wrapText="1"/>
    </xf>
    <xf numFmtId="166" fontId="10" fillId="0" borderId="31" xfId="22" quotePrefix="1" applyNumberFormat="1" applyFont="1" applyBorder="1" applyAlignment="1">
      <alignment horizontal="right" vertical="top" wrapText="1"/>
    </xf>
    <xf numFmtId="166" fontId="10" fillId="0" borderId="1" xfId="22" quotePrefix="1" applyNumberFormat="1" applyFont="1" applyBorder="1" applyAlignment="1">
      <alignment horizontal="right" vertical="top" wrapText="1"/>
    </xf>
    <xf numFmtId="166" fontId="10" fillId="0" borderId="2" xfId="22" quotePrefix="1" applyNumberFormat="1" applyFont="1" applyBorder="1" applyAlignment="1">
      <alignment horizontal="right" vertical="top" wrapText="1"/>
    </xf>
    <xf numFmtId="166" fontId="14" fillId="0" borderId="1" xfId="25" applyNumberFormat="1" applyFont="1" applyFill="1" applyBorder="1" applyAlignment="1">
      <alignment horizontal="right" vertical="top" wrapText="1"/>
    </xf>
    <xf numFmtId="166" fontId="12" fillId="0" borderId="2" xfId="22" quotePrefix="1" applyNumberFormat="1" applyFont="1" applyBorder="1" applyAlignment="1">
      <alignment horizontal="right" vertical="top" wrapText="1"/>
    </xf>
    <xf numFmtId="169" fontId="33" fillId="0" borderId="2" xfId="25" applyNumberFormat="1" applyFont="1" applyFill="1" applyBorder="1" applyAlignment="1">
      <alignment horizontal="right" vertical="top" wrapText="1"/>
    </xf>
    <xf numFmtId="169" fontId="33" fillId="0" borderId="1" xfId="25" applyNumberFormat="1" applyFont="1" applyFill="1" applyBorder="1" applyAlignment="1">
      <alignment horizontal="right" vertical="top" wrapText="1"/>
    </xf>
    <xf numFmtId="168" fontId="33" fillId="0" borderId="1" xfId="25" applyNumberFormat="1" applyFont="1" applyFill="1" applyBorder="1" applyAlignment="1">
      <alignment horizontal="right" vertical="top" wrapText="1"/>
    </xf>
    <xf numFmtId="168" fontId="14" fillId="0" borderId="17" xfId="25" applyNumberFormat="1" applyFont="1" applyBorder="1" applyAlignment="1">
      <alignment horizontal="right" vertical="top" wrapText="1"/>
    </xf>
    <xf numFmtId="0" fontId="52" fillId="0" borderId="0" xfId="61" applyFont="1" applyAlignment="1">
      <alignment horizontal="right"/>
    </xf>
    <xf numFmtId="2" fontId="0" fillId="0" borderId="1" xfId="0" applyNumberFormat="1" applyBorder="1" applyAlignment="1">
      <alignment horizontal="left" vertical="top" wrapText="1"/>
    </xf>
    <xf numFmtId="0" fontId="50" fillId="0" borderId="0" xfId="61" applyFont="1" applyAlignment="1">
      <alignment horizontal="right"/>
    </xf>
    <xf numFmtId="0" fontId="49" fillId="0" borderId="0" xfId="59" applyFont="1" applyAlignment="1">
      <alignment horizontal="left" vertical="center" wrapText="1"/>
    </xf>
    <xf numFmtId="0" fontId="50" fillId="0" borderId="1" xfId="0" applyFont="1" applyBorder="1" applyAlignment="1">
      <alignment horizontal="left" vertical="top" wrapText="1"/>
    </xf>
    <xf numFmtId="1" fontId="10" fillId="0" borderId="22" xfId="22" applyNumberFormat="1" applyFont="1" applyBorder="1" applyAlignment="1">
      <alignment horizontal="right" vertical="top" wrapText="1"/>
    </xf>
    <xf numFmtId="0" fontId="34" fillId="0" borderId="0" xfId="0" quotePrefix="1" applyFont="1"/>
    <xf numFmtId="166" fontId="34" fillId="0" borderId="0" xfId="0" applyNumberFormat="1" applyFont="1"/>
    <xf numFmtId="0" fontId="34" fillId="0" borderId="0" xfId="0" applyFont="1"/>
    <xf numFmtId="167" fontId="34" fillId="0" borderId="0" xfId="0" applyNumberFormat="1" applyFont="1"/>
    <xf numFmtId="166" fontId="7" fillId="0" borderId="42" xfId="22" quotePrefix="1" applyNumberFormat="1" applyFont="1" applyFill="1" applyBorder="1" applyAlignment="1">
      <alignment horizontal="left" vertical="top" wrapText="1"/>
    </xf>
    <xf numFmtId="1" fontId="8" fillId="0" borderId="49" xfId="31" applyNumberFormat="1" applyFont="1" applyBorder="1" applyAlignment="1">
      <alignment horizontal="right" vertical="top" wrapText="1"/>
    </xf>
    <xf numFmtId="2" fontId="8" fillId="0" borderId="0" xfId="30" quotePrefix="1" applyNumberFormat="1" applyFont="1" applyBorder="1" applyAlignment="1">
      <alignment horizontal="left" vertical="top" wrapText="1"/>
    </xf>
    <xf numFmtId="2" fontId="8" fillId="0" borderId="50" xfId="28" quotePrefix="1" applyNumberFormat="1" applyFont="1" applyBorder="1" applyAlignment="1">
      <alignment horizontal="left" vertical="top" wrapText="1"/>
    </xf>
    <xf numFmtId="166" fontId="8" fillId="0" borderId="0" xfId="29" applyNumberFormat="1" applyFont="1" applyFill="1" applyBorder="1" applyAlignment="1">
      <alignment horizontal="right" vertical="top" wrapText="1"/>
    </xf>
    <xf numFmtId="166" fontId="8" fillId="0" borderId="15" xfId="29" applyNumberFormat="1" applyFont="1" applyFill="1" applyBorder="1" applyAlignment="1">
      <alignment horizontal="right" vertical="top" wrapText="1"/>
    </xf>
    <xf numFmtId="166" fontId="8" fillId="0" borderId="15" xfId="25" applyNumberFormat="1" applyFont="1" applyFill="1" applyBorder="1" applyAlignment="1">
      <alignment horizontal="right" vertical="top" wrapText="1"/>
    </xf>
    <xf numFmtId="166" fontId="8" fillId="0" borderId="11" xfId="25" applyNumberFormat="1" applyFont="1" applyFill="1" applyBorder="1" applyAlignment="1">
      <alignment horizontal="right" vertical="top" wrapText="1"/>
    </xf>
    <xf numFmtId="16" fontId="35" fillId="4" borderId="1" xfId="0" applyNumberFormat="1" applyFont="1" applyFill="1" applyBorder="1" applyAlignment="1">
      <alignment horizontal="center" wrapText="1"/>
    </xf>
    <xf numFmtId="0" fontId="35" fillId="4" borderId="1" xfId="0" applyFont="1" applyFill="1" applyBorder="1" applyAlignment="1">
      <alignment horizontal="left" vertical="top" wrapText="1"/>
    </xf>
    <xf numFmtId="49" fontId="35" fillId="0" borderId="1" xfId="0" applyNumberFormat="1" applyFont="1" applyBorder="1" applyAlignment="1">
      <alignment horizontal="left" vertical="top"/>
    </xf>
    <xf numFmtId="0" fontId="35" fillId="0" borderId="1" xfId="0" applyFont="1" applyBorder="1" applyAlignment="1">
      <alignment horizontal="left" vertical="top" wrapText="1"/>
    </xf>
    <xf numFmtId="166" fontId="8" fillId="4" borderId="3" xfId="29" applyNumberFormat="1" applyFont="1" applyFill="1" applyBorder="1" applyAlignment="1">
      <alignment horizontal="right" vertical="top" wrapText="1"/>
    </xf>
    <xf numFmtId="166" fontId="8" fillId="4" borderId="19" xfId="29" applyNumberFormat="1" applyFont="1" applyFill="1" applyBorder="1" applyAlignment="1">
      <alignment horizontal="right" vertical="top" wrapText="1"/>
    </xf>
    <xf numFmtId="166" fontId="8" fillId="4" borderId="26" xfId="29" applyNumberFormat="1" applyFont="1" applyFill="1" applyBorder="1" applyAlignment="1">
      <alignment horizontal="right" vertical="top" wrapText="1"/>
    </xf>
    <xf numFmtId="49" fontId="24" fillId="0" borderId="0" xfId="0" applyNumberFormat="1" applyFont="1" applyBorder="1" applyAlignment="1">
      <alignment horizontal="center" vertical="top" wrapText="1"/>
    </xf>
    <xf numFmtId="0" fontId="43" fillId="0" borderId="0" xfId="61" applyFont="1" applyBorder="1" applyAlignment="1">
      <alignment horizontal="center" vertical="center" wrapText="1"/>
    </xf>
    <xf numFmtId="166" fontId="43" fillId="0" borderId="0" xfId="61" applyNumberFormat="1" applyFont="1" applyBorder="1" applyAlignment="1">
      <alignment horizontal="center" vertical="center" wrapText="1"/>
    </xf>
    <xf numFmtId="49" fontId="26" fillId="0" borderId="0" xfId="58" applyNumberFormat="1" applyFont="1" applyAlignment="1">
      <alignment horizontal="left" vertical="top"/>
    </xf>
    <xf numFmtId="0" fontId="14" fillId="0" borderId="0" xfId="58" applyFont="1"/>
    <xf numFmtId="0" fontId="23" fillId="0" borderId="0" xfId="58" applyFont="1" applyAlignment="1">
      <alignment horizontal="left" vertical="top"/>
    </xf>
    <xf numFmtId="49" fontId="23" fillId="0" borderId="0" xfId="58" applyNumberFormat="1" applyFont="1" applyAlignment="1">
      <alignment horizontal="left" vertical="top"/>
    </xf>
    <xf numFmtId="0" fontId="23" fillId="0" borderId="0" xfId="58" applyFont="1" applyAlignment="1">
      <alignment horizontal="right" vertical="top"/>
    </xf>
    <xf numFmtId="0" fontId="35" fillId="0" borderId="0" xfId="58" applyFont="1"/>
    <xf numFmtId="0" fontId="35" fillId="0" borderId="0" xfId="58" applyFont="1" applyAlignment="1">
      <alignment horizontal="right" vertical="top"/>
    </xf>
    <xf numFmtId="170" fontId="26" fillId="0" borderId="0" xfId="58" applyNumberFormat="1" applyFont="1" applyAlignment="1">
      <alignment horizontal="center"/>
    </xf>
    <xf numFmtId="0" fontId="36" fillId="0" borderId="0" xfId="58" applyFont="1" applyAlignment="1"/>
    <xf numFmtId="0" fontId="54" fillId="0" borderId="0" xfId="58" quotePrefix="1" applyFont="1" applyFill="1" applyBorder="1" applyAlignment="1">
      <alignment vertical="top" wrapText="1"/>
    </xf>
    <xf numFmtId="0" fontId="26" fillId="0" borderId="0" xfId="58" applyFont="1"/>
    <xf numFmtId="0" fontId="35" fillId="0" borderId="0" xfId="58" applyFont="1" applyFill="1" applyAlignment="1"/>
    <xf numFmtId="0" fontId="35" fillId="0" borderId="0" xfId="58" applyFont="1" applyFill="1" applyAlignment="1">
      <alignment wrapText="1"/>
    </xf>
    <xf numFmtId="0" fontId="35" fillId="0" borderId="0" xfId="58" applyFont="1" applyFill="1" applyAlignment="1">
      <alignment horizontal="left" wrapText="1"/>
    </xf>
    <xf numFmtId="4" fontId="55" fillId="0" borderId="0" xfId="56" quotePrefix="1" applyNumberFormat="1" applyFont="1" applyFill="1" applyBorder="1" applyAlignment="1">
      <alignment horizontal="left" vertical="top" wrapText="1"/>
    </xf>
    <xf numFmtId="0" fontId="23" fillId="0" borderId="0" xfId="58" applyFont="1" applyFill="1" applyAlignment="1">
      <alignment wrapText="1"/>
    </xf>
    <xf numFmtId="0" fontId="35" fillId="0" borderId="0" xfId="58" applyFont="1" applyAlignment="1">
      <alignment horizontal="center" vertical="top"/>
    </xf>
    <xf numFmtId="49" fontId="35" fillId="4" borderId="0" xfId="58" applyNumberFormat="1" applyFont="1" applyFill="1" applyAlignment="1">
      <alignment horizontal="left" vertical="top"/>
    </xf>
    <xf numFmtId="0" fontId="35" fillId="4" borderId="0" xfId="58" applyFont="1" applyFill="1" applyAlignment="1">
      <alignment horizontal="left" vertical="top"/>
    </xf>
    <xf numFmtId="0" fontId="35" fillId="4" borderId="0" xfId="58" applyFont="1" applyFill="1" applyAlignment="1">
      <alignment horizontal="right" vertical="center"/>
    </xf>
    <xf numFmtId="0" fontId="35" fillId="4" borderId="0" xfId="58" applyFont="1" applyFill="1" applyAlignment="1">
      <alignment horizontal="right" vertical="top"/>
    </xf>
    <xf numFmtId="0" fontId="35" fillId="4" borderId="0" xfId="58" applyFont="1" applyFill="1" applyAlignment="1">
      <alignment horizontal="center" vertical="center"/>
    </xf>
    <xf numFmtId="49" fontId="35" fillId="0" borderId="0" xfId="58" applyNumberFormat="1" applyFont="1" applyAlignment="1">
      <alignment horizontal="left" vertical="top"/>
    </xf>
    <xf numFmtId="0" fontId="35" fillId="0" borderId="0" xfId="58" applyFont="1" applyAlignment="1">
      <alignment horizontal="left" vertical="top"/>
    </xf>
    <xf numFmtId="0" fontId="35" fillId="0" borderId="0" xfId="58" applyFont="1" applyAlignment="1">
      <alignment horizontal="right" vertical="center"/>
    </xf>
    <xf numFmtId="0" fontId="35" fillId="0" borderId="0" xfId="58" applyFont="1" applyAlignment="1">
      <alignment horizontal="center" vertical="center"/>
    </xf>
    <xf numFmtId="0" fontId="35" fillId="0" borderId="52" xfId="58" applyFont="1" applyBorder="1" applyAlignment="1">
      <alignment horizontal="center" vertical="center"/>
    </xf>
    <xf numFmtId="49" fontId="35" fillId="0" borderId="52" xfId="58" applyNumberFormat="1" applyFont="1" applyBorder="1" applyAlignment="1">
      <alignment horizontal="center" vertical="center"/>
    </xf>
    <xf numFmtId="0" fontId="35" fillId="0" borderId="1" xfId="58" applyFont="1" applyFill="1" applyBorder="1" applyAlignment="1">
      <alignment horizontal="center" vertical="top" wrapText="1"/>
    </xf>
    <xf numFmtId="49" fontId="35" fillId="0" borderId="1" xfId="58" applyNumberFormat="1" applyFont="1" applyFill="1" applyBorder="1" applyAlignment="1">
      <alignment horizontal="left" vertical="top" wrapText="1"/>
    </xf>
    <xf numFmtId="0" fontId="35" fillId="0" borderId="1" xfId="58" applyFont="1" applyFill="1" applyBorder="1" applyAlignment="1">
      <alignment horizontal="left" vertical="top" wrapText="1"/>
    </xf>
    <xf numFmtId="167" fontId="35" fillId="0" borderId="1" xfId="58" applyNumberFormat="1" applyFont="1" applyFill="1" applyBorder="1" applyAlignment="1">
      <alignment horizontal="right" vertical="top"/>
    </xf>
    <xf numFmtId="167" fontId="35" fillId="4" borderId="1" xfId="58" applyNumberFormat="1" applyFont="1" applyFill="1" applyBorder="1" applyAlignment="1">
      <alignment horizontal="right" vertical="top" wrapText="1"/>
    </xf>
    <xf numFmtId="167" fontId="35" fillId="0" borderId="1" xfId="58" applyNumberFormat="1" applyFont="1" applyFill="1" applyBorder="1" applyAlignment="1">
      <alignment horizontal="right" vertical="top" wrapText="1"/>
    </xf>
    <xf numFmtId="0" fontId="35" fillId="0" borderId="0" xfId="58" applyFont="1" applyFill="1"/>
    <xf numFmtId="0" fontId="35" fillId="3" borderId="1" xfId="58" applyFont="1" applyFill="1" applyBorder="1" applyAlignment="1">
      <alignment horizontal="center" vertical="top"/>
    </xf>
    <xf numFmtId="49" fontId="35" fillId="3" borderId="1" xfId="58" applyNumberFormat="1" applyFont="1" applyFill="1" applyBorder="1" applyAlignment="1">
      <alignment horizontal="left" vertical="top"/>
    </xf>
    <xf numFmtId="0" fontId="35" fillId="3" borderId="1" xfId="58" applyFont="1" applyFill="1" applyBorder="1" applyAlignment="1">
      <alignment horizontal="left" vertical="top" wrapText="1"/>
    </xf>
    <xf numFmtId="167" fontId="35" fillId="3" borderId="1" xfId="58" applyNumberFormat="1" applyFont="1" applyFill="1" applyBorder="1" applyAlignment="1">
      <alignment horizontal="right" vertical="top" wrapText="1"/>
    </xf>
    <xf numFmtId="167" fontId="35" fillId="3" borderId="1" xfId="58" applyNumberFormat="1" applyFont="1" applyFill="1" applyBorder="1" applyAlignment="1">
      <alignment horizontal="right" vertical="top"/>
    </xf>
    <xf numFmtId="167" fontId="35" fillId="0" borderId="0" xfId="58" applyNumberFormat="1" applyFont="1"/>
    <xf numFmtId="0" fontId="35" fillId="0" borderId="1" xfId="58" applyFont="1" applyBorder="1" applyAlignment="1">
      <alignment horizontal="center" vertical="top" wrapText="1"/>
    </xf>
    <xf numFmtId="49" fontId="35" fillId="0" borderId="1" xfId="58" applyNumberFormat="1" applyFont="1" applyBorder="1" applyAlignment="1">
      <alignment horizontal="left" vertical="top" wrapText="1"/>
    </xf>
    <xf numFmtId="0" fontId="35" fillId="4" borderId="1" xfId="58" applyFont="1" applyFill="1" applyBorder="1" applyAlignment="1">
      <alignment horizontal="left" vertical="top" wrapText="1"/>
    </xf>
    <xf numFmtId="167" fontId="35" fillId="0" borderId="1" xfId="58" applyNumberFormat="1" applyFont="1" applyBorder="1" applyAlignment="1">
      <alignment horizontal="right" vertical="top" wrapText="1"/>
    </xf>
    <xf numFmtId="167" fontId="35" fillId="0" borderId="1" xfId="58" applyNumberFormat="1" applyFont="1" applyBorder="1" applyAlignment="1">
      <alignment horizontal="right" vertical="top"/>
    </xf>
    <xf numFmtId="0" fontId="35" fillId="0" borderId="1" xfId="58" applyFont="1" applyBorder="1" applyAlignment="1">
      <alignment horizontal="center" vertical="top"/>
    </xf>
    <xf numFmtId="49" fontId="35" fillId="0" borderId="1" xfId="58" applyNumberFormat="1" applyFont="1" applyBorder="1" applyAlignment="1">
      <alignment horizontal="left" vertical="top"/>
    </xf>
    <xf numFmtId="2" fontId="35" fillId="0" borderId="0" xfId="58" applyNumberFormat="1" applyFont="1"/>
    <xf numFmtId="0" fontId="35" fillId="4" borderId="1" xfId="58" applyFont="1" applyFill="1" applyBorder="1" applyAlignment="1">
      <alignment horizontal="center" wrapText="1"/>
    </xf>
    <xf numFmtId="0" fontId="35" fillId="4" borderId="1" xfId="58" applyFont="1" applyFill="1" applyBorder="1" applyAlignment="1">
      <alignment horizontal="left" vertical="center" wrapText="1"/>
    </xf>
    <xf numFmtId="0" fontId="35" fillId="2" borderId="1" xfId="58" applyFont="1" applyFill="1" applyBorder="1" applyAlignment="1">
      <alignment horizontal="center" vertical="top" wrapText="1"/>
    </xf>
    <xf numFmtId="0" fontId="35" fillId="0" borderId="1" xfId="58" applyFont="1" applyFill="1" applyBorder="1" applyAlignment="1">
      <alignment horizontal="left" vertical="center" wrapText="1"/>
    </xf>
    <xf numFmtId="167" fontId="35" fillId="2" borderId="1" xfId="58" applyNumberFormat="1" applyFont="1" applyFill="1" applyBorder="1" applyAlignment="1">
      <alignment horizontal="right" vertical="top"/>
    </xf>
    <xf numFmtId="166" fontId="35" fillId="0" borderId="1" xfId="58" applyNumberFormat="1" applyFont="1" applyFill="1" applyBorder="1" applyAlignment="1">
      <alignment horizontal="right" vertical="top" wrapText="1"/>
    </xf>
    <xf numFmtId="2" fontId="35" fillId="0" borderId="41" xfId="58" applyNumberFormat="1" applyFont="1" applyBorder="1" applyAlignment="1">
      <alignment horizontal="right" vertical="top" wrapText="1"/>
    </xf>
    <xf numFmtId="0" fontId="35" fillId="4" borderId="1" xfId="58" applyFont="1" applyFill="1" applyBorder="1" applyAlignment="1">
      <alignment horizontal="center" vertical="top" wrapText="1"/>
    </xf>
    <xf numFmtId="49" fontId="35" fillId="4" borderId="1" xfId="58" applyNumberFormat="1" applyFont="1" applyFill="1" applyBorder="1" applyAlignment="1">
      <alignment horizontal="left" vertical="top" wrapText="1"/>
    </xf>
    <xf numFmtId="167" fontId="35" fillId="4" borderId="1" xfId="58" applyNumberFormat="1" applyFont="1" applyFill="1" applyBorder="1" applyAlignment="1">
      <alignment horizontal="right" vertical="top"/>
    </xf>
    <xf numFmtId="0" fontId="35" fillId="4" borderId="0" xfId="58" applyFont="1" applyFill="1"/>
    <xf numFmtId="167" fontId="14" fillId="0" borderId="1" xfId="58" applyNumberFormat="1" applyFont="1" applyBorder="1" applyAlignment="1">
      <alignment horizontal="right" vertical="top" wrapText="1"/>
    </xf>
    <xf numFmtId="167" fontId="14" fillId="0" borderId="1" xfId="58" applyNumberFormat="1" applyFont="1" applyBorder="1" applyAlignment="1">
      <alignment horizontal="right" vertical="top"/>
    </xf>
    <xf numFmtId="0" fontId="35" fillId="4" borderId="0" xfId="58" applyFont="1" applyFill="1" applyAlignment="1">
      <alignment horizontal="center" vertical="top"/>
    </xf>
    <xf numFmtId="2" fontId="35" fillId="0" borderId="0" xfId="58" applyNumberFormat="1" applyFont="1" applyAlignment="1">
      <alignment horizontal="right" vertical="top"/>
    </xf>
    <xf numFmtId="0" fontId="31" fillId="0" borderId="45" xfId="0" applyFont="1" applyFill="1" applyBorder="1" applyAlignment="1">
      <alignment vertical="center" wrapText="1"/>
    </xf>
    <xf numFmtId="0" fontId="31" fillId="0" borderId="48" xfId="0" applyFont="1" applyFill="1" applyBorder="1" applyAlignment="1">
      <alignment vertical="center" wrapText="1"/>
    </xf>
    <xf numFmtId="2" fontId="30" fillId="4" borderId="3" xfId="28" quotePrefix="1" applyNumberFormat="1" applyFont="1" applyFill="1" applyBorder="1" applyAlignment="1">
      <alignment horizontal="left" vertical="center" wrapText="1"/>
    </xf>
    <xf numFmtId="2" fontId="30" fillId="0" borderId="17" xfId="28" applyNumberFormat="1" applyFont="1" applyBorder="1" applyAlignment="1">
      <alignment horizontal="left" vertical="center" wrapText="1"/>
    </xf>
    <xf numFmtId="0" fontId="13" fillId="4" borderId="1" xfId="0" applyFont="1" applyFill="1" applyBorder="1" applyAlignment="1">
      <alignment horizontal="left" vertical="top" wrapText="1"/>
    </xf>
    <xf numFmtId="0" fontId="13" fillId="0" borderId="1" xfId="0" applyFont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center" vertical="center" wrapText="1"/>
    </xf>
    <xf numFmtId="49" fontId="35" fillId="0" borderId="1" xfId="0" applyNumberFormat="1" applyFont="1" applyBorder="1" applyAlignment="1">
      <alignment horizontal="center" vertical="center"/>
    </xf>
    <xf numFmtId="49" fontId="14" fillId="0" borderId="23" xfId="0" applyNumberFormat="1" applyFont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0" fontId="14" fillId="0" borderId="1" xfId="58" applyFont="1" applyBorder="1" applyAlignment="1">
      <alignment horizontal="left" vertical="top" wrapText="1"/>
    </xf>
    <xf numFmtId="0" fontId="35" fillId="0" borderId="1" xfId="58" applyFont="1" applyBorder="1" applyAlignment="1">
      <alignment horizontal="left" vertical="top" wrapText="1"/>
    </xf>
    <xf numFmtId="0" fontId="56" fillId="0" borderId="0" xfId="58" applyFont="1" applyFill="1" applyBorder="1" applyAlignment="1">
      <alignment horizontal="center"/>
    </xf>
    <xf numFmtId="0" fontId="26" fillId="0" borderId="0" xfId="58" applyFont="1" applyAlignment="1">
      <alignment horizontal="left" vertical="top"/>
    </xf>
    <xf numFmtId="2" fontId="32" fillId="4" borderId="3" xfId="28" quotePrefix="1" applyNumberFormat="1" applyFont="1" applyFill="1" applyBorder="1" applyAlignment="1">
      <alignment horizontal="left" vertical="center" wrapText="1"/>
    </xf>
    <xf numFmtId="168" fontId="30" fillId="0" borderId="2" xfId="22" quotePrefix="1" applyNumberFormat="1" applyFont="1" applyFill="1" applyBorder="1" applyAlignment="1">
      <alignment horizontal="right" vertical="top" wrapText="1"/>
    </xf>
    <xf numFmtId="49" fontId="14" fillId="0" borderId="1" xfId="58" applyNumberFormat="1" applyFont="1" applyBorder="1" applyAlignment="1">
      <alignment horizontal="left" vertical="top"/>
    </xf>
    <xf numFmtId="0" fontId="14" fillId="0" borderId="1" xfId="58" applyFont="1" applyBorder="1" applyAlignment="1">
      <alignment horizontal="center" vertical="top"/>
    </xf>
    <xf numFmtId="0" fontId="35" fillId="4" borderId="1" xfId="58" applyFont="1" applyFill="1" applyBorder="1" applyAlignment="1">
      <alignment horizontal="left" wrapText="1"/>
    </xf>
    <xf numFmtId="16" fontId="35" fillId="4" borderId="1" xfId="58" applyNumberFormat="1" applyFont="1" applyFill="1" applyBorder="1" applyAlignment="1">
      <alignment horizontal="left" wrapText="1"/>
    </xf>
    <xf numFmtId="166" fontId="8" fillId="4" borderId="29" xfId="29" applyNumberFormat="1" applyFont="1" applyFill="1" applyBorder="1" applyAlignment="1">
      <alignment horizontal="right" vertical="top" wrapText="1"/>
    </xf>
    <xf numFmtId="166" fontId="8" fillId="4" borderId="16" xfId="29" applyNumberFormat="1" applyFont="1" applyFill="1" applyBorder="1" applyAlignment="1">
      <alignment horizontal="right" vertical="top" wrapText="1"/>
    </xf>
    <xf numFmtId="166" fontId="8" fillId="4" borderId="30" xfId="29" applyNumberFormat="1" applyFont="1" applyFill="1" applyBorder="1" applyAlignment="1">
      <alignment horizontal="right" vertical="top" wrapText="1"/>
    </xf>
    <xf numFmtId="166" fontId="8" fillId="4" borderId="18" xfId="29" applyNumberFormat="1" applyFont="1" applyFill="1" applyBorder="1" applyAlignment="1">
      <alignment horizontal="right" vertical="top" wrapText="1"/>
    </xf>
    <xf numFmtId="166" fontId="8" fillId="4" borderId="24" xfId="29" applyNumberFormat="1" applyFont="1" applyFill="1" applyBorder="1" applyAlignment="1">
      <alignment horizontal="right" vertical="top" wrapText="1"/>
    </xf>
    <xf numFmtId="166" fontId="8" fillId="4" borderId="27" xfId="29" applyNumberFormat="1" applyFont="1" applyFill="1" applyBorder="1" applyAlignment="1">
      <alignment horizontal="right" vertical="top" wrapText="1"/>
    </xf>
    <xf numFmtId="166" fontId="8" fillId="4" borderId="25" xfId="25" applyNumberFormat="1" applyFont="1" applyFill="1" applyBorder="1" applyAlignment="1">
      <alignment horizontal="right" vertical="top" wrapText="1"/>
    </xf>
    <xf numFmtId="166" fontId="8" fillId="4" borderId="53" xfId="29" applyNumberFormat="1" applyFont="1" applyFill="1" applyBorder="1" applyAlignment="1">
      <alignment horizontal="right" vertical="top" wrapText="1"/>
    </xf>
    <xf numFmtId="166" fontId="8" fillId="4" borderId="20" xfId="29" applyNumberFormat="1" applyFont="1" applyFill="1" applyBorder="1" applyAlignment="1">
      <alignment horizontal="right" vertical="top" wrapText="1"/>
    </xf>
    <xf numFmtId="166" fontId="8" fillId="4" borderId="21" xfId="29" applyNumberFormat="1" applyFont="1" applyFill="1" applyBorder="1" applyAlignment="1">
      <alignment horizontal="right" vertical="top" wrapText="1"/>
    </xf>
    <xf numFmtId="166" fontId="8" fillId="4" borderId="22" xfId="29" applyNumberFormat="1" applyFont="1" applyFill="1" applyBorder="1" applyAlignment="1">
      <alignment horizontal="right" vertical="top" wrapText="1"/>
    </xf>
    <xf numFmtId="166" fontId="8" fillId="4" borderId="23" xfId="29" applyNumberFormat="1" applyFont="1" applyFill="1" applyBorder="1" applyAlignment="1">
      <alignment horizontal="right" vertical="top" wrapText="1"/>
    </xf>
    <xf numFmtId="171" fontId="42" fillId="0" borderId="54" xfId="63" applyNumberFormat="1" applyFont="1" applyBorder="1" applyAlignment="1">
      <alignment horizontal="right" vertical="top" wrapText="1"/>
    </xf>
    <xf numFmtId="0" fontId="40" fillId="4" borderId="0" xfId="58" applyFont="1" applyFill="1" applyAlignment="1">
      <alignment horizontal="center" vertical="top" wrapText="1"/>
    </xf>
    <xf numFmtId="0" fontId="35" fillId="4" borderId="0" xfId="58" applyFont="1" applyFill="1" applyAlignment="1">
      <alignment vertical="top" wrapText="1"/>
    </xf>
    <xf numFmtId="0" fontId="14" fillId="0" borderId="1" xfId="58" applyFont="1" applyBorder="1" applyAlignment="1">
      <alignment horizontal="left" vertical="top" wrapText="1"/>
    </xf>
    <xf numFmtId="0" fontId="35" fillId="0" borderId="1" xfId="58" applyFont="1" applyBorder="1" applyAlignment="1">
      <alignment horizontal="left" vertical="top" wrapText="1"/>
    </xf>
    <xf numFmtId="49" fontId="39" fillId="0" borderId="1" xfId="58" applyNumberFormat="1" applyFont="1" applyBorder="1" applyAlignment="1">
      <alignment horizontal="left" vertical="top" wrapText="1"/>
    </xf>
    <xf numFmtId="0" fontId="35" fillId="4" borderId="0" xfId="58" applyFont="1" applyFill="1" applyAlignment="1">
      <alignment horizontal="center" vertical="top" wrapText="1"/>
    </xf>
    <xf numFmtId="0" fontId="35" fillId="0" borderId="1" xfId="58" applyFont="1" applyBorder="1" applyAlignment="1">
      <alignment horizontal="center" vertical="center" wrapText="1"/>
    </xf>
    <xf numFmtId="0" fontId="23" fillId="4" borderId="4" xfId="58" applyFont="1" applyFill="1" applyBorder="1" applyAlignment="1">
      <alignment horizontal="center" vertical="center" wrapText="1"/>
    </xf>
    <xf numFmtId="0" fontId="3" fillId="4" borderId="4" xfId="58" applyFont="1" applyFill="1" applyBorder="1" applyAlignment="1">
      <alignment horizontal="center"/>
    </xf>
    <xf numFmtId="0" fontId="55" fillId="0" borderId="0" xfId="54" quotePrefix="1" applyFont="1" applyFill="1" applyBorder="1" applyAlignment="1">
      <alignment horizontal="left" vertical="top" wrapText="1"/>
    </xf>
    <xf numFmtId="0" fontId="55" fillId="0" borderId="0" xfId="5" quotePrefix="1" applyFont="1" applyFill="1" applyBorder="1" applyAlignment="1">
      <alignment horizontal="left" vertical="top" wrapText="1"/>
    </xf>
    <xf numFmtId="0" fontId="14" fillId="0" borderId="3" xfId="58" applyFont="1" applyBorder="1" applyAlignment="1">
      <alignment horizontal="left" vertical="top" wrapText="1"/>
    </xf>
    <xf numFmtId="0" fontId="19" fillId="0" borderId="48" xfId="58" applyFont="1" applyBorder="1" applyAlignment="1">
      <alignment vertical="top"/>
    </xf>
    <xf numFmtId="0" fontId="19" fillId="0" borderId="2" xfId="58" applyFont="1" applyBorder="1" applyAlignment="1">
      <alignment vertical="top"/>
    </xf>
    <xf numFmtId="0" fontId="14" fillId="0" borderId="48" xfId="58" applyFont="1" applyBorder="1" applyAlignment="1">
      <alignment horizontal="left" vertical="top" wrapText="1"/>
    </xf>
    <xf numFmtId="0" fontId="14" fillId="0" borderId="2" xfId="58" applyFont="1" applyBorder="1" applyAlignment="1">
      <alignment horizontal="left" vertical="top" wrapText="1"/>
    </xf>
    <xf numFmtId="49" fontId="35" fillId="0" borderId="1" xfId="58" applyNumberFormat="1" applyFont="1" applyBorder="1" applyAlignment="1">
      <alignment horizontal="center" vertical="center" wrapText="1"/>
    </xf>
    <xf numFmtId="0" fontId="35" fillId="0" borderId="1" xfId="58" applyFont="1" applyBorder="1" applyAlignment="1">
      <alignment horizontal="center" vertical="center"/>
    </xf>
    <xf numFmtId="0" fontId="38" fillId="4" borderId="0" xfId="58" applyFont="1" applyFill="1" applyAlignment="1">
      <alignment horizontal="center" vertical="center"/>
    </xf>
    <xf numFmtId="0" fontId="26" fillId="0" borderId="4" xfId="58" applyFont="1" applyBorder="1" applyAlignment="1">
      <alignment horizontal="left" vertical="top"/>
    </xf>
    <xf numFmtId="0" fontId="36" fillId="0" borderId="4" xfId="58" applyFont="1" applyBorder="1" applyAlignment="1">
      <alignment vertical="top"/>
    </xf>
    <xf numFmtId="0" fontId="26" fillId="0" borderId="0" xfId="58" applyFont="1" applyAlignment="1">
      <alignment horizontal="left" vertical="top"/>
    </xf>
    <xf numFmtId="0" fontId="36" fillId="0" borderId="0" xfId="58" applyFont="1" applyAlignment="1">
      <alignment horizontal="left" vertical="top"/>
    </xf>
    <xf numFmtId="0" fontId="54" fillId="0" borderId="0" xfId="58" applyFont="1" applyFill="1" applyBorder="1" applyAlignment="1">
      <alignment horizontal="center"/>
    </xf>
    <xf numFmtId="0" fontId="35" fillId="0" borderId="4" xfId="58" applyFont="1" applyBorder="1" applyAlignment="1">
      <alignment horizontal="center" vertical="top"/>
    </xf>
    <xf numFmtId="0" fontId="3" fillId="0" borderId="4" xfId="58" applyBorder="1" applyAlignment="1"/>
    <xf numFmtId="0" fontId="56" fillId="0" borderId="0" xfId="58" applyFont="1" applyFill="1" applyBorder="1" applyAlignment="1">
      <alignment horizontal="center"/>
    </xf>
    <xf numFmtId="0" fontId="23" fillId="0" borderId="0" xfId="58" applyFont="1" applyAlignment="1">
      <alignment horizontal="right"/>
    </xf>
    <xf numFmtId="0" fontId="56" fillId="0" borderId="0" xfId="58" applyFont="1" applyFill="1" applyBorder="1" applyAlignment="1">
      <alignment horizontal="center" vertical="top"/>
    </xf>
    <xf numFmtId="0" fontId="37" fillId="4" borderId="0" xfId="58" applyFont="1" applyFill="1" applyAlignment="1">
      <alignment horizontal="center" vertical="center"/>
    </xf>
    <xf numFmtId="0" fontId="1" fillId="0" borderId="20" xfId="10" quotePrefix="1" applyBorder="1" applyAlignment="1">
      <alignment horizontal="center" vertical="center" wrapText="1"/>
    </xf>
    <xf numFmtId="0" fontId="1" fillId="0" borderId="18" xfId="10" applyBorder="1" applyAlignment="1">
      <alignment horizontal="center" vertical="center" wrapText="1"/>
    </xf>
    <xf numFmtId="0" fontId="1" fillId="0" borderId="53" xfId="8" quotePrefix="1" applyBorder="1" applyAlignment="1">
      <alignment horizontal="center" vertical="center" wrapText="1"/>
    </xf>
    <xf numFmtId="0" fontId="1" fillId="0" borderId="27" xfId="8" applyBorder="1" applyAlignment="1">
      <alignment horizontal="center" vertical="center" wrapText="1"/>
    </xf>
    <xf numFmtId="0" fontId="16" fillId="6" borderId="14" xfId="0" applyFont="1" applyFill="1" applyBorder="1" applyAlignment="1">
      <alignment horizontal="center" vertical="center" wrapText="1"/>
    </xf>
    <xf numFmtId="0" fontId="16" fillId="6" borderId="12" xfId="0" applyFont="1" applyFill="1" applyBorder="1" applyAlignment="1">
      <alignment horizontal="center" vertical="center" wrapText="1"/>
    </xf>
    <xf numFmtId="0" fontId="16" fillId="6" borderId="13" xfId="0" applyFont="1" applyFill="1" applyBorder="1" applyAlignment="1">
      <alignment horizontal="center" vertical="center" wrapText="1"/>
    </xf>
    <xf numFmtId="0" fontId="14" fillId="6" borderId="14" xfId="0" applyFont="1" applyFill="1" applyBorder="1" applyAlignment="1">
      <alignment horizontal="center" vertical="center" wrapText="1"/>
    </xf>
    <xf numFmtId="0" fontId="14" fillId="6" borderId="12" xfId="0" applyFont="1" applyFill="1" applyBorder="1" applyAlignment="1">
      <alignment horizontal="center" vertical="center" wrapText="1"/>
    </xf>
    <xf numFmtId="0" fontId="14" fillId="6" borderId="13" xfId="0" applyFont="1" applyFill="1" applyBorder="1" applyAlignment="1">
      <alignment horizontal="center" vertical="center" wrapText="1"/>
    </xf>
    <xf numFmtId="166" fontId="9" fillId="0" borderId="0" xfId="46" quotePrefix="1" applyNumberFormat="1" applyAlignment="1">
      <alignment horizontal="left" vertical="top" wrapText="1"/>
    </xf>
    <xf numFmtId="166" fontId="9" fillId="0" borderId="0" xfId="46" applyNumberFormat="1" applyAlignment="1">
      <alignment horizontal="left" vertical="top" wrapText="1"/>
    </xf>
    <xf numFmtId="165" fontId="50" fillId="0" borderId="0" xfId="61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9" fillId="6" borderId="1" xfId="58" applyFont="1" applyFill="1" applyBorder="1" applyAlignment="1">
      <alignment horizontal="center" vertical="center" wrapText="1"/>
    </xf>
    <xf numFmtId="0" fontId="52" fillId="0" borderId="0" xfId="61" applyFont="1" applyAlignment="1">
      <alignment horizontal="right"/>
    </xf>
    <xf numFmtId="0" fontId="0" fillId="0" borderId="0" xfId="0" applyAlignment="1">
      <alignment horizontal="right"/>
    </xf>
    <xf numFmtId="0" fontId="17" fillId="0" borderId="0" xfId="3" applyFont="1" applyBorder="1" applyAlignment="1">
      <alignment horizontal="center" vertical="center" wrapText="1"/>
    </xf>
    <xf numFmtId="0" fontId="50" fillId="0" borderId="0" xfId="61" applyFont="1" applyAlignment="1">
      <alignment horizontal="right" wrapText="1"/>
    </xf>
    <xf numFmtId="0" fontId="4" fillId="0" borderId="0" xfId="50" quotePrefix="1" applyBorder="1" applyAlignment="1">
      <alignment horizontal="left" vertical="top" wrapText="1"/>
    </xf>
    <xf numFmtId="0" fontId="50" fillId="0" borderId="0" xfId="61" applyFont="1" applyAlignment="1">
      <alignment horizontal="right"/>
    </xf>
    <xf numFmtId="166" fontId="4" fillId="0" borderId="0" xfId="7" quotePrefix="1" applyNumberFormat="1" applyBorder="1" applyAlignment="1">
      <alignment horizontal="left" vertical="top" wrapText="1"/>
    </xf>
    <xf numFmtId="0" fontId="4" fillId="0" borderId="0" xfId="7" applyBorder="1" applyAlignment="1">
      <alignment horizontal="left" vertical="top" wrapText="1"/>
    </xf>
    <xf numFmtId="0" fontId="1" fillId="0" borderId="19" xfId="9" quotePrefix="1" applyBorder="1" applyAlignment="1">
      <alignment horizontal="center" vertical="center" wrapText="1"/>
    </xf>
    <xf numFmtId="0" fontId="1" fillId="0" borderId="24" xfId="9" applyBorder="1" applyAlignment="1">
      <alignment horizontal="center" vertical="center" wrapText="1"/>
    </xf>
    <xf numFmtId="0" fontId="7" fillId="0" borderId="1" xfId="44" applyFont="1" applyBorder="1" applyAlignment="1">
      <alignment horizontal="left" vertical="center" wrapText="1"/>
    </xf>
    <xf numFmtId="0" fontId="7" fillId="0" borderId="1" xfId="22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2" fontId="7" fillId="0" borderId="16" xfId="22" applyNumberFormat="1" applyBorder="1" applyAlignment="1">
      <alignment horizontal="left" vertical="top" wrapText="1"/>
    </xf>
    <xf numFmtId="2" fontId="0" fillId="0" borderId="1" xfId="0" applyNumberFormat="1" applyBorder="1" applyAlignment="1">
      <alignment horizontal="left" vertical="top" wrapText="1"/>
    </xf>
    <xf numFmtId="2" fontId="0" fillId="0" borderId="17" xfId="0" applyNumberFormat="1" applyBorder="1" applyAlignment="1">
      <alignment horizontal="left" vertical="top" wrapText="1"/>
    </xf>
    <xf numFmtId="2" fontId="7" fillId="0" borderId="43" xfId="22" applyNumberFormat="1" applyBorder="1" applyAlignment="1">
      <alignment horizontal="left" vertical="top" wrapText="1"/>
    </xf>
    <xf numFmtId="2" fontId="0" fillId="0" borderId="42" xfId="0" applyNumberFormat="1" applyBorder="1" applyAlignment="1">
      <alignment horizontal="left" vertical="top" wrapText="1"/>
    </xf>
    <xf numFmtId="2" fontId="0" fillId="0" borderId="44" xfId="0" applyNumberFormat="1" applyBorder="1" applyAlignment="1">
      <alignment horizontal="left" vertical="top" wrapText="1"/>
    </xf>
    <xf numFmtId="2" fontId="7" fillId="0" borderId="43" xfId="22" quotePrefix="1" applyNumberFormat="1" applyBorder="1" applyAlignment="1">
      <alignment horizontal="left" vertical="top" wrapText="1"/>
    </xf>
    <xf numFmtId="2" fontId="7" fillId="0" borderId="55" xfId="22" quotePrefix="1" applyNumberFormat="1" applyBorder="1" applyAlignment="1">
      <alignment horizontal="left" vertical="top" wrapText="1"/>
    </xf>
    <xf numFmtId="2" fontId="0" fillId="0" borderId="56" xfId="0" applyNumberFormat="1" applyBorder="1" applyAlignment="1">
      <alignment horizontal="left" vertical="top" wrapText="1"/>
    </xf>
    <xf numFmtId="2" fontId="0" fillId="0" borderId="57" xfId="0" applyNumberFormat="1" applyBorder="1" applyAlignment="1">
      <alignment horizontal="left" vertical="top" wrapText="1"/>
    </xf>
    <xf numFmtId="0" fontId="9" fillId="0" borderId="0" xfId="44" quotePrefix="1" applyAlignment="1">
      <alignment horizontal="left" vertical="top" wrapText="1"/>
    </xf>
    <xf numFmtId="0" fontId="9" fillId="0" borderId="0" xfId="44" applyAlignment="1">
      <alignment horizontal="left" vertical="top" wrapText="1"/>
    </xf>
    <xf numFmtId="166" fontId="9" fillId="0" borderId="0" xfId="45" quotePrefix="1" applyNumberFormat="1" applyAlignment="1">
      <alignment horizontal="left" vertical="top" wrapText="1"/>
    </xf>
    <xf numFmtId="166" fontId="9" fillId="0" borderId="0" xfId="45" applyNumberFormat="1" applyAlignment="1">
      <alignment horizontal="left" vertical="top" wrapText="1"/>
    </xf>
    <xf numFmtId="0" fontId="49" fillId="0" borderId="0" xfId="59" applyFont="1" applyAlignment="1">
      <alignment horizontal="left" vertical="center" wrapText="1"/>
    </xf>
    <xf numFmtId="165" fontId="50" fillId="0" borderId="0" xfId="61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52" fillId="0" borderId="0" xfId="61" applyFont="1" applyAlignment="1">
      <alignment horizontal="right" wrapText="1"/>
    </xf>
    <xf numFmtId="0" fontId="0" fillId="0" borderId="0" xfId="0" applyAlignment="1">
      <alignment horizontal="right" wrapText="1"/>
    </xf>
    <xf numFmtId="0" fontId="26" fillId="0" borderId="0" xfId="39" applyFont="1" applyBorder="1" applyAlignment="1">
      <alignment horizontal="center" vertical="top" wrapText="1"/>
    </xf>
    <xf numFmtId="0" fontId="20" fillId="0" borderId="15" xfId="7" applyFont="1" applyBorder="1" applyAlignment="1">
      <alignment horizontal="left" vertical="top" wrapText="1"/>
    </xf>
    <xf numFmtId="0" fontId="1" fillId="0" borderId="20" xfId="10" applyBorder="1" applyAlignment="1">
      <alignment horizontal="center" vertical="center" wrapText="1"/>
    </xf>
    <xf numFmtId="0" fontId="1" fillId="0" borderId="26" xfId="8" applyBorder="1" applyAlignment="1">
      <alignment horizontal="center" vertical="center" wrapText="1"/>
    </xf>
    <xf numFmtId="0" fontId="1" fillId="0" borderId="25" xfId="8" applyBorder="1" applyAlignment="1">
      <alignment horizontal="center" vertical="center" wrapText="1"/>
    </xf>
    <xf numFmtId="0" fontId="16" fillId="4" borderId="42" xfId="0" applyFont="1" applyFill="1" applyBorder="1" applyAlignment="1">
      <alignment horizontal="center" vertical="center" wrapText="1"/>
    </xf>
    <xf numFmtId="0" fontId="21" fillId="0" borderId="58" xfId="14" quotePrefix="1" applyFont="1" applyBorder="1" applyAlignment="1">
      <alignment horizontal="center" vertical="center" wrapText="1"/>
    </xf>
    <xf numFmtId="0" fontId="21" fillId="0" borderId="59" xfId="14" quotePrefix="1" applyFont="1" applyBorder="1" applyAlignment="1">
      <alignment horizontal="center" vertical="center" wrapText="1"/>
    </xf>
    <xf numFmtId="0" fontId="28" fillId="4" borderId="16" xfId="22" quotePrefix="1" applyFont="1" applyFill="1" applyBorder="1" applyAlignment="1">
      <alignment horizontal="left" vertical="top" wrapText="1"/>
    </xf>
    <xf numFmtId="0" fontId="50" fillId="4" borderId="1" xfId="0" applyFont="1" applyFill="1" applyBorder="1" applyAlignment="1">
      <alignment horizontal="left" vertical="top" wrapText="1"/>
    </xf>
    <xf numFmtId="0" fontId="50" fillId="4" borderId="3" xfId="0" applyFont="1" applyFill="1" applyBorder="1" applyAlignment="1">
      <alignment horizontal="left" vertical="top" wrapText="1"/>
    </xf>
    <xf numFmtId="0" fontId="9" fillId="4" borderId="0" xfId="45" quotePrefix="1" applyFill="1" applyAlignment="1">
      <alignment horizontal="left" vertical="top" wrapText="1"/>
    </xf>
    <xf numFmtId="0" fontId="9" fillId="4" borderId="0" xfId="45" applyFill="1" applyAlignment="1">
      <alignment horizontal="left" vertical="top" wrapText="1"/>
    </xf>
    <xf numFmtId="0" fontId="9" fillId="4" borderId="0" xfId="46" quotePrefix="1" applyFill="1" applyAlignment="1">
      <alignment horizontal="left" vertical="top" wrapText="1"/>
    </xf>
    <xf numFmtId="0" fontId="9" fillId="4" borderId="0" xfId="46" applyFill="1" applyAlignment="1">
      <alignment horizontal="left" vertical="top" wrapText="1"/>
    </xf>
    <xf numFmtId="0" fontId="28" fillId="0" borderId="16" xfId="22" applyFont="1" applyBorder="1" applyAlignment="1">
      <alignment horizontal="left" vertical="top" wrapText="1"/>
    </xf>
    <xf numFmtId="0" fontId="50" fillId="0" borderId="1" xfId="0" applyFont="1" applyBorder="1" applyAlignment="1">
      <alignment horizontal="left" vertical="top" wrapText="1"/>
    </xf>
    <xf numFmtId="0" fontId="50" fillId="0" borderId="3" xfId="0" applyFont="1" applyBorder="1" applyAlignment="1">
      <alignment horizontal="left" vertical="top" wrapText="1"/>
    </xf>
    <xf numFmtId="0" fontId="28" fillId="0" borderId="16" xfId="22" quotePrefix="1" applyFont="1" applyBorder="1" applyAlignment="1">
      <alignment horizontal="left" vertical="top" wrapText="1"/>
    </xf>
  </cellXfs>
  <cellStyles count="68">
    <cellStyle name="S0" xfId="1"/>
    <cellStyle name="S1" xfId="2"/>
    <cellStyle name="S10" xfId="3"/>
    <cellStyle name="S11" xfId="4"/>
    <cellStyle name="S11 2" xfId="5"/>
    <cellStyle name="S12" xfId="6"/>
    <cellStyle name="S13" xfId="7"/>
    <cellStyle name="S14" xfId="8"/>
    <cellStyle name="S15" xfId="9"/>
    <cellStyle name="S16" xfId="10"/>
    <cellStyle name="S17" xfId="11"/>
    <cellStyle name="S18" xfId="12"/>
    <cellStyle name="S18 2" xfId="13"/>
    <cellStyle name="S19" xfId="14"/>
    <cellStyle name="S2" xfId="15"/>
    <cellStyle name="S20" xfId="16"/>
    <cellStyle name="S21" xfId="17"/>
    <cellStyle name="S22" xfId="18"/>
    <cellStyle name="S23" xfId="19"/>
    <cellStyle name="S23 2" xfId="20"/>
    <cellStyle name="S24" xfId="21"/>
    <cellStyle name="S25" xfId="22"/>
    <cellStyle name="S26" xfId="23"/>
    <cellStyle name="S27" xfId="24"/>
    <cellStyle name="S28" xfId="25"/>
    <cellStyle name="S29" xfId="26"/>
    <cellStyle name="S3" xfId="27"/>
    <cellStyle name="S30" xfId="28"/>
    <cellStyle name="S31" xfId="29"/>
    <cellStyle name="S32" xfId="30"/>
    <cellStyle name="S33" xfId="31"/>
    <cellStyle name="S34" xfId="32"/>
    <cellStyle name="S34 2" xfId="33"/>
    <cellStyle name="S35" xfId="34"/>
    <cellStyle name="S36" xfId="35"/>
    <cellStyle name="S37" xfId="36"/>
    <cellStyle name="S38" xfId="37"/>
    <cellStyle name="S39" xfId="38"/>
    <cellStyle name="S4" xfId="39"/>
    <cellStyle name="S40" xfId="40"/>
    <cellStyle name="S41" xfId="41"/>
    <cellStyle name="S42" xfId="42"/>
    <cellStyle name="S43" xfId="43"/>
    <cellStyle name="S44" xfId="44"/>
    <cellStyle name="S45" xfId="45"/>
    <cellStyle name="S46" xfId="46"/>
    <cellStyle name="S47" xfId="47"/>
    <cellStyle name="S48" xfId="48"/>
    <cellStyle name="S49" xfId="49"/>
    <cellStyle name="S5" xfId="50"/>
    <cellStyle name="S50" xfId="51"/>
    <cellStyle name="S6" xfId="52"/>
    <cellStyle name="S7" xfId="53"/>
    <cellStyle name="S7 2" xfId="54"/>
    <cellStyle name="S8" xfId="55"/>
    <cellStyle name="S8 2" xfId="56"/>
    <cellStyle name="S9" xfId="57"/>
    <cellStyle name="Обычный" xfId="0" builtinId="0"/>
    <cellStyle name="Обычный 2" xfId="58"/>
    <cellStyle name="Обычный 3" xfId="59"/>
    <cellStyle name="Обычный 4" xfId="60"/>
    <cellStyle name="Обычный 4 2" xfId="61"/>
    <cellStyle name="Обычный 4 2 2" xfId="62"/>
    <cellStyle name="Обычный_НМЦ лота СМР" xfId="63"/>
    <cellStyle name="Стиль 1" xfId="64"/>
    <cellStyle name="Финансовый 2" xfId="65"/>
    <cellStyle name="Финансовый 3" xfId="66"/>
    <cellStyle name="Финансовый 3 2" xfId="67"/>
  </cellStyles>
  <dxfs count="1">
    <dxf>
      <font>
        <color theme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1390650</xdr:colOff>
      <xdr:row>47</xdr:row>
      <xdr:rowOff>19050</xdr:rowOff>
    </xdr:from>
    <xdr:to>
      <xdr:col>3</xdr:col>
      <xdr:colOff>190500</xdr:colOff>
      <xdr:row>48</xdr:row>
      <xdr:rowOff>95250</xdr:rowOff>
    </xdr:to>
    <xdr:pic>
      <xdr:nvPicPr>
        <xdr:cNvPr id="1027" name="Рисунок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5" y="15268575"/>
          <a:ext cx="981075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400050</xdr:colOff>
      <xdr:row>44</xdr:row>
      <xdr:rowOff>152400</xdr:rowOff>
    </xdr:from>
    <xdr:to>
      <xdr:col>4</xdr:col>
      <xdr:colOff>485775</xdr:colOff>
      <xdr:row>45</xdr:row>
      <xdr:rowOff>333375</xdr:rowOff>
    </xdr:to>
    <xdr:pic>
      <xdr:nvPicPr>
        <xdr:cNvPr id="1028" name="Рисунок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05300" y="14354175"/>
          <a:ext cx="695325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1438275</xdr:colOff>
      <xdr:row>52</xdr:row>
      <xdr:rowOff>123825</xdr:rowOff>
    </xdr:from>
    <xdr:to>
      <xdr:col>2</xdr:col>
      <xdr:colOff>1438275</xdr:colOff>
      <xdr:row>54</xdr:row>
      <xdr:rowOff>152400</xdr:rowOff>
    </xdr:to>
    <xdr:pic>
      <xdr:nvPicPr>
        <xdr:cNvPr id="2053" name="Рисунок 3" descr="Копачук.jp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9525" y="12096750"/>
          <a:ext cx="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1552575</xdr:colOff>
      <xdr:row>50</xdr:row>
      <xdr:rowOff>123825</xdr:rowOff>
    </xdr:from>
    <xdr:to>
      <xdr:col>2</xdr:col>
      <xdr:colOff>1552575</xdr:colOff>
      <xdr:row>52</xdr:row>
      <xdr:rowOff>19050</xdr:rowOff>
    </xdr:to>
    <xdr:pic>
      <xdr:nvPicPr>
        <xdr:cNvPr id="2054" name="Рисунок 4" descr="Пуртова Елена Васильевна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33825" y="11715750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1143000</xdr:colOff>
      <xdr:row>51</xdr:row>
      <xdr:rowOff>142875</xdr:rowOff>
    </xdr:from>
    <xdr:to>
      <xdr:col>2</xdr:col>
      <xdr:colOff>2124075</xdr:colOff>
      <xdr:row>54</xdr:row>
      <xdr:rowOff>85725</xdr:rowOff>
    </xdr:to>
    <xdr:pic>
      <xdr:nvPicPr>
        <xdr:cNvPr id="2055" name="Рисунок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0" y="11925300"/>
          <a:ext cx="981075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2076450</xdr:colOff>
      <xdr:row>48</xdr:row>
      <xdr:rowOff>238125</xdr:rowOff>
    </xdr:from>
    <xdr:to>
      <xdr:col>2</xdr:col>
      <xdr:colOff>2771775</xdr:colOff>
      <xdr:row>50</xdr:row>
      <xdr:rowOff>142875</xdr:rowOff>
    </xdr:to>
    <xdr:pic>
      <xdr:nvPicPr>
        <xdr:cNvPr id="2056" name="Рисунок 6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57700" y="11363325"/>
          <a:ext cx="695325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8"/>
  <sheetViews>
    <sheetView view="pageBreakPreview" topLeftCell="A16" zoomScaleNormal="100" zoomScaleSheetLayoutView="100" workbookViewId="0">
      <selection activeCell="D27" sqref="D27"/>
    </sheetView>
  </sheetViews>
  <sheetFormatPr defaultRowHeight="12.75" x14ac:dyDescent="0.2"/>
  <cols>
    <col min="1" max="1" width="5" style="340" customWidth="1"/>
    <col min="2" max="2" width="22" style="346" customWidth="1"/>
    <col min="3" max="3" width="43.85546875" style="347" customWidth="1"/>
    <col min="4" max="4" width="12.28515625" style="330" customWidth="1"/>
    <col min="5" max="5" width="13" style="330" customWidth="1"/>
    <col min="6" max="6" width="13.42578125" style="330" customWidth="1"/>
    <col min="7" max="7" width="12.5703125" style="330" customWidth="1"/>
    <col min="8" max="8" width="13.42578125" style="330" customWidth="1"/>
    <col min="9" max="9" width="9.5703125" style="329" hidden="1" customWidth="1"/>
    <col min="10" max="17" width="0" style="329" hidden="1" customWidth="1"/>
    <col min="18" max="16384" width="9.140625" style="329"/>
  </cols>
  <sheetData>
    <row r="1" spans="1:8" s="325" customFormat="1" ht="15.75" x14ac:dyDescent="0.2">
      <c r="A1" s="401" t="s">
        <v>75</v>
      </c>
      <c r="B1" s="324"/>
      <c r="C1" s="440" t="s">
        <v>76</v>
      </c>
      <c r="D1" s="441"/>
      <c r="E1" s="441"/>
      <c r="F1" s="441"/>
      <c r="G1" s="441"/>
      <c r="H1" s="441"/>
    </row>
    <row r="2" spans="1:8" ht="15.75" x14ac:dyDescent="0.2">
      <c r="A2" s="326" t="s">
        <v>77</v>
      </c>
      <c r="B2" s="327"/>
      <c r="C2" s="326"/>
      <c r="D2" s="328"/>
      <c r="E2" s="328"/>
      <c r="F2" s="328"/>
      <c r="G2" s="328"/>
      <c r="H2" s="328"/>
    </row>
    <row r="3" spans="1:8" ht="15.75" x14ac:dyDescent="0.25">
      <c r="A3" s="442" t="s">
        <v>78</v>
      </c>
      <c r="B3" s="443"/>
      <c r="C3" s="443"/>
      <c r="E3" s="444"/>
      <c r="F3" s="444"/>
      <c r="G3" s="444"/>
      <c r="H3" s="444"/>
    </row>
    <row r="4" spans="1:8" s="334" customFormat="1" ht="23.25" customHeight="1" x14ac:dyDescent="0.25">
      <c r="A4" s="448" t="s">
        <v>79</v>
      </c>
      <c r="B4" s="448"/>
      <c r="C4" s="448"/>
      <c r="D4" s="331">
        <f>H48</f>
        <v>825.54988023165902</v>
      </c>
      <c r="E4" s="332" t="s">
        <v>80</v>
      </c>
      <c r="F4" s="333"/>
      <c r="G4" s="333"/>
      <c r="H4" s="333"/>
    </row>
    <row r="5" spans="1:8" ht="24" customHeight="1" x14ac:dyDescent="0.25">
      <c r="A5" s="445"/>
      <c r="B5" s="446"/>
      <c r="C5" s="446"/>
      <c r="D5" s="446"/>
      <c r="E5" s="447"/>
      <c r="F5" s="447"/>
      <c r="G5" s="447"/>
      <c r="H5" s="447"/>
    </row>
    <row r="6" spans="1:8" ht="21" customHeight="1" x14ac:dyDescent="0.25">
      <c r="A6" s="449" t="s">
        <v>81</v>
      </c>
      <c r="B6" s="449"/>
      <c r="C6" s="449"/>
      <c r="D6" s="449"/>
      <c r="E6" s="447"/>
      <c r="F6" s="447"/>
      <c r="G6" s="447"/>
      <c r="H6" s="447"/>
    </row>
    <row r="7" spans="1:8" ht="15.75" x14ac:dyDescent="0.25">
      <c r="A7" s="335" t="s">
        <v>82</v>
      </c>
      <c r="B7" s="336"/>
      <c r="C7" s="337"/>
      <c r="D7" s="336"/>
      <c r="E7" s="400"/>
      <c r="F7" s="400"/>
      <c r="G7" s="400"/>
      <c r="H7" s="400"/>
    </row>
    <row r="8" spans="1:8" ht="21" customHeight="1" x14ac:dyDescent="0.25">
      <c r="A8" s="430"/>
      <c r="B8" s="430"/>
      <c r="C8" s="430"/>
      <c r="D8" s="338"/>
      <c r="E8" s="431"/>
      <c r="F8" s="431"/>
      <c r="G8" s="339"/>
      <c r="H8" s="339"/>
    </row>
    <row r="9" spans="1:8" ht="18.75" x14ac:dyDescent="0.2">
      <c r="A9" s="450" t="s">
        <v>83</v>
      </c>
      <c r="B9" s="450"/>
      <c r="C9" s="450"/>
      <c r="D9" s="450"/>
      <c r="E9" s="450"/>
      <c r="F9" s="450"/>
      <c r="G9" s="450"/>
      <c r="H9" s="450"/>
    </row>
    <row r="10" spans="1:8" x14ac:dyDescent="0.2">
      <c r="B10" s="341"/>
      <c r="C10" s="342"/>
      <c r="D10" s="343"/>
      <c r="E10" s="344"/>
      <c r="F10" s="345"/>
      <c r="G10" s="345"/>
      <c r="H10" s="345"/>
    </row>
    <row r="11" spans="1:8" ht="31.5" customHeight="1" x14ac:dyDescent="0.2">
      <c r="A11" s="428" t="s">
        <v>127</v>
      </c>
      <c r="B11" s="429"/>
      <c r="C11" s="429"/>
      <c r="D11" s="429"/>
      <c r="E11" s="429"/>
      <c r="F11" s="429"/>
      <c r="G11" s="429"/>
      <c r="H11" s="429"/>
    </row>
    <row r="12" spans="1:8" x14ac:dyDescent="0.2">
      <c r="A12" s="439" t="s">
        <v>84</v>
      </c>
      <c r="B12" s="439"/>
      <c r="C12" s="439"/>
      <c r="D12" s="439"/>
      <c r="E12" s="439"/>
      <c r="F12" s="439"/>
      <c r="G12" s="439"/>
      <c r="H12" s="439"/>
    </row>
    <row r="13" spans="1:8" x14ac:dyDescent="0.2">
      <c r="B13" s="346" t="s">
        <v>85</v>
      </c>
      <c r="D13" s="348"/>
      <c r="E13" s="349"/>
      <c r="F13" s="349"/>
      <c r="G13" s="349"/>
      <c r="H13" s="349"/>
    </row>
    <row r="14" spans="1:8" ht="12.75" customHeight="1" x14ac:dyDescent="0.2">
      <c r="A14" s="427" t="s">
        <v>86</v>
      </c>
      <c r="B14" s="437" t="s">
        <v>28</v>
      </c>
      <c r="C14" s="427" t="s">
        <v>29</v>
      </c>
      <c r="D14" s="438" t="s">
        <v>30</v>
      </c>
      <c r="E14" s="438"/>
      <c r="F14" s="438"/>
      <c r="G14" s="438"/>
      <c r="H14" s="427" t="s">
        <v>87</v>
      </c>
    </row>
    <row r="15" spans="1:8" x14ac:dyDescent="0.2">
      <c r="A15" s="427"/>
      <c r="B15" s="437"/>
      <c r="C15" s="427"/>
      <c r="D15" s="427" t="s">
        <v>88</v>
      </c>
      <c r="E15" s="427" t="s">
        <v>1</v>
      </c>
      <c r="F15" s="427" t="s">
        <v>89</v>
      </c>
      <c r="G15" s="427" t="s">
        <v>90</v>
      </c>
      <c r="H15" s="427"/>
    </row>
    <row r="16" spans="1:8" x14ac:dyDescent="0.2">
      <c r="A16" s="427"/>
      <c r="B16" s="437"/>
      <c r="C16" s="427"/>
      <c r="D16" s="427"/>
      <c r="E16" s="427"/>
      <c r="F16" s="427"/>
      <c r="G16" s="427"/>
      <c r="H16" s="427"/>
    </row>
    <row r="17" spans="1:10" x14ac:dyDescent="0.2">
      <c r="A17" s="427"/>
      <c r="B17" s="437"/>
      <c r="C17" s="427"/>
      <c r="D17" s="427"/>
      <c r="E17" s="427"/>
      <c r="F17" s="427"/>
      <c r="G17" s="427"/>
      <c r="H17" s="427"/>
    </row>
    <row r="18" spans="1:10" x14ac:dyDescent="0.2">
      <c r="A18" s="350">
        <v>1</v>
      </c>
      <c r="B18" s="351">
        <v>2</v>
      </c>
      <c r="C18" s="350">
        <v>3</v>
      </c>
      <c r="D18" s="350">
        <v>4</v>
      </c>
      <c r="E18" s="350">
        <v>5</v>
      </c>
      <c r="F18" s="350">
        <v>6</v>
      </c>
      <c r="G18" s="350">
        <v>7</v>
      </c>
      <c r="H18" s="350">
        <v>8</v>
      </c>
    </row>
    <row r="19" spans="1:10" ht="15.75" customHeight="1" x14ac:dyDescent="0.2">
      <c r="A19" s="423" t="s">
        <v>31</v>
      </c>
      <c r="B19" s="424"/>
      <c r="C19" s="424"/>
      <c r="D19" s="424"/>
      <c r="E19" s="424"/>
      <c r="F19" s="424"/>
      <c r="G19" s="424"/>
      <c r="H19" s="424"/>
    </row>
    <row r="20" spans="1:10" s="358" customFormat="1" ht="14.25" customHeight="1" x14ac:dyDescent="0.2">
      <c r="A20" s="352">
        <v>1</v>
      </c>
      <c r="B20" s="353"/>
      <c r="C20" s="354"/>
      <c r="D20" s="355"/>
      <c r="E20" s="355"/>
      <c r="F20" s="355"/>
      <c r="G20" s="356">
        <v>0</v>
      </c>
      <c r="H20" s="357">
        <f>G20</f>
        <v>0</v>
      </c>
    </row>
    <row r="21" spans="1:10" ht="12" customHeight="1" x14ac:dyDescent="0.2">
      <c r="A21" s="359"/>
      <c r="B21" s="360"/>
      <c r="C21" s="361" t="s">
        <v>91</v>
      </c>
      <c r="D21" s="362"/>
      <c r="E21" s="363"/>
      <c r="F21" s="363"/>
      <c r="G21" s="362">
        <f>SUM(G20:G20)</f>
        <v>0</v>
      </c>
      <c r="H21" s="362">
        <f>SUM(H20:H20)</f>
        <v>0</v>
      </c>
      <c r="J21" s="364">
        <f>D21</f>
        <v>0</v>
      </c>
    </row>
    <row r="22" spans="1:10" x14ac:dyDescent="0.2">
      <c r="A22" s="423" t="s">
        <v>55</v>
      </c>
      <c r="B22" s="424"/>
      <c r="C22" s="424"/>
      <c r="D22" s="424"/>
      <c r="E22" s="424"/>
      <c r="F22" s="424"/>
      <c r="G22" s="424"/>
      <c r="H22" s="424"/>
    </row>
    <row r="23" spans="1:10" ht="40.5" customHeight="1" x14ac:dyDescent="0.2">
      <c r="A23" s="365">
        <v>2</v>
      </c>
      <c r="B23" s="366" t="s">
        <v>125</v>
      </c>
      <c r="C23" s="367" t="s">
        <v>124</v>
      </c>
      <c r="D23" s="368">
        <f>647809.85/1000</f>
        <v>647.80984999999998</v>
      </c>
      <c r="E23" s="369"/>
      <c r="F23" s="369"/>
      <c r="G23" s="369"/>
      <c r="H23" s="368">
        <f>SUM(D23:G23)</f>
        <v>647.80984999999998</v>
      </c>
    </row>
    <row r="24" spans="1:10" x14ac:dyDescent="0.2">
      <c r="A24" s="359"/>
      <c r="B24" s="360"/>
      <c r="C24" s="361" t="s">
        <v>92</v>
      </c>
      <c r="D24" s="362">
        <f>D23</f>
        <v>647.80984999999998</v>
      </c>
      <c r="E24" s="363">
        <f>E23</f>
        <v>0</v>
      </c>
      <c r="F24" s="363">
        <f>F23</f>
        <v>0</v>
      </c>
      <c r="G24" s="363">
        <f>G23</f>
        <v>0</v>
      </c>
      <c r="H24" s="362">
        <f>SUM(D24:G24)</f>
        <v>647.80984999999998</v>
      </c>
      <c r="J24" s="364">
        <f>D24</f>
        <v>647.80984999999998</v>
      </c>
    </row>
    <row r="25" spans="1:10" x14ac:dyDescent="0.2">
      <c r="A25" s="370"/>
      <c r="B25" s="371"/>
      <c r="C25" s="399" t="s">
        <v>93</v>
      </c>
      <c r="D25" s="368">
        <f>D20+D24</f>
        <v>647.80984999999998</v>
      </c>
      <c r="E25" s="369">
        <f>E20+E24</f>
        <v>0</v>
      </c>
      <c r="F25" s="369">
        <f>F20+F24</f>
        <v>0</v>
      </c>
      <c r="G25" s="368">
        <f>G20+G24</f>
        <v>0</v>
      </c>
      <c r="H25" s="368">
        <f>SUM(D25:G25)</f>
        <v>647.80984999999998</v>
      </c>
      <c r="I25" s="372"/>
    </row>
    <row r="26" spans="1:10" x14ac:dyDescent="0.2">
      <c r="A26" s="423" t="s">
        <v>21</v>
      </c>
      <c r="B26" s="424"/>
      <c r="C26" s="424"/>
      <c r="D26" s="424"/>
      <c r="E26" s="424"/>
      <c r="F26" s="424"/>
      <c r="G26" s="424"/>
      <c r="H26" s="424"/>
    </row>
    <row r="27" spans="1:10" ht="51.6" customHeight="1" x14ac:dyDescent="0.2">
      <c r="A27" s="365">
        <v>3</v>
      </c>
      <c r="B27" s="366" t="s">
        <v>94</v>
      </c>
      <c r="C27" s="399" t="s">
        <v>60</v>
      </c>
      <c r="D27" s="357">
        <f>D24*2.64%</f>
        <v>17.10218004</v>
      </c>
      <c r="E27" s="369"/>
      <c r="F27" s="369"/>
      <c r="G27" s="369"/>
      <c r="H27" s="368">
        <f>SUM(D27:G27)</f>
        <v>17.10218004</v>
      </c>
    </row>
    <row r="28" spans="1:10" x14ac:dyDescent="0.2">
      <c r="A28" s="359"/>
      <c r="B28" s="360"/>
      <c r="C28" s="361" t="s">
        <v>95</v>
      </c>
      <c r="D28" s="362">
        <f>D27</f>
        <v>17.10218004</v>
      </c>
      <c r="E28" s="363">
        <f>E27</f>
        <v>0</v>
      </c>
      <c r="F28" s="363">
        <f>F27</f>
        <v>0</v>
      </c>
      <c r="G28" s="363">
        <f>G27</f>
        <v>0</v>
      </c>
      <c r="H28" s="362">
        <f>SUM(D28:G28)</f>
        <v>17.10218004</v>
      </c>
      <c r="J28" s="364">
        <f>D28</f>
        <v>17.10218004</v>
      </c>
    </row>
    <row r="29" spans="1:10" x14ac:dyDescent="0.2">
      <c r="A29" s="370"/>
      <c r="B29" s="371"/>
      <c r="C29" s="399" t="s">
        <v>96</v>
      </c>
      <c r="D29" s="368">
        <f>D25+D28</f>
        <v>664.91203003999999</v>
      </c>
      <c r="E29" s="369">
        <f>E25+E28</f>
        <v>0</v>
      </c>
      <c r="F29" s="369">
        <f>F25+F28</f>
        <v>0</v>
      </c>
      <c r="G29" s="368">
        <f>G25+G28</f>
        <v>0</v>
      </c>
      <c r="H29" s="368">
        <f>SUM(D29:G29)</f>
        <v>664.91203003999999</v>
      </c>
      <c r="I29" s="372"/>
    </row>
    <row r="30" spans="1:10" x14ac:dyDescent="0.2">
      <c r="A30" s="432" t="s">
        <v>9</v>
      </c>
      <c r="B30" s="433"/>
      <c r="C30" s="433"/>
      <c r="D30" s="433"/>
      <c r="E30" s="433"/>
      <c r="F30" s="433"/>
      <c r="G30" s="433"/>
      <c r="H30" s="434"/>
      <c r="I30" s="372"/>
    </row>
    <row r="31" spans="1:10" ht="25.5" x14ac:dyDescent="0.2">
      <c r="A31" s="370">
        <v>4</v>
      </c>
      <c r="B31" s="373" t="s">
        <v>97</v>
      </c>
      <c r="C31" s="374" t="s">
        <v>98</v>
      </c>
      <c r="D31" s="368">
        <f>D29*0.0143</f>
        <v>9.5082420295719992</v>
      </c>
      <c r="E31" s="369"/>
      <c r="F31" s="369"/>
      <c r="G31" s="368"/>
      <c r="H31" s="368">
        <f>SUM(D31:G31)</f>
        <v>9.5082420295719992</v>
      </c>
      <c r="I31" s="372"/>
    </row>
    <row r="32" spans="1:10" ht="51" x14ac:dyDescent="0.2">
      <c r="A32" s="370">
        <v>5</v>
      </c>
      <c r="B32" s="407" t="s">
        <v>63</v>
      </c>
      <c r="C32" s="367" t="s">
        <v>64</v>
      </c>
      <c r="D32" s="368"/>
      <c r="E32" s="369"/>
      <c r="F32" s="369"/>
      <c r="G32" s="368">
        <f>(D40+E40)*0.0292</f>
        <v>19.693071944431502</v>
      </c>
      <c r="H32" s="368">
        <f>SUM(D32:G32)</f>
        <v>19.693071944431502</v>
      </c>
      <c r="I32" s="372"/>
    </row>
    <row r="33" spans="1:10" x14ac:dyDescent="0.2">
      <c r="A33" s="370">
        <v>6</v>
      </c>
      <c r="B33" s="371" t="s">
        <v>123</v>
      </c>
      <c r="C33" s="399" t="s">
        <v>66</v>
      </c>
      <c r="D33" s="368"/>
      <c r="E33" s="369"/>
      <c r="F33" s="369"/>
      <c r="G33" s="368">
        <f>5832/1000</f>
        <v>5.8319999999999999</v>
      </c>
      <c r="H33" s="368">
        <f>SUM(D33:G33)</f>
        <v>5.8319999999999999</v>
      </c>
      <c r="I33" s="372"/>
    </row>
    <row r="34" spans="1:10" x14ac:dyDescent="0.2">
      <c r="A34" s="359"/>
      <c r="B34" s="360"/>
      <c r="C34" s="361" t="s">
        <v>99</v>
      </c>
      <c r="D34" s="362">
        <f>SUM(D31:D33)</f>
        <v>9.5082420295719992</v>
      </c>
      <c r="E34" s="363">
        <f>SUM(E31:E33)</f>
        <v>0</v>
      </c>
      <c r="F34" s="363">
        <f>SUM(F31:F33)</f>
        <v>0</v>
      </c>
      <c r="G34" s="363">
        <f>SUM(G31:G33)</f>
        <v>25.525071944431502</v>
      </c>
      <c r="H34" s="362">
        <f>SUM(H31:H33)</f>
        <v>35.033313974003498</v>
      </c>
      <c r="J34" s="364"/>
    </row>
    <row r="35" spans="1:10" x14ac:dyDescent="0.2">
      <c r="A35" s="370"/>
      <c r="B35" s="371"/>
      <c r="C35" s="406" t="s">
        <v>100</v>
      </c>
      <c r="D35" s="368">
        <f>D29+D34</f>
        <v>674.42027206957198</v>
      </c>
      <c r="E35" s="368">
        <f>E29+E34</f>
        <v>0</v>
      </c>
      <c r="F35" s="368">
        <f>F29+F34</f>
        <v>0</v>
      </c>
      <c r="G35" s="368">
        <f>G29+G34</f>
        <v>25.525071944431502</v>
      </c>
      <c r="H35" s="368">
        <f>SUM(D35:G35)</f>
        <v>699.94534401400347</v>
      </c>
      <c r="I35" s="372"/>
    </row>
    <row r="36" spans="1:10" ht="12.95" customHeight="1" x14ac:dyDescent="0.2">
      <c r="A36" s="432" t="s">
        <v>101</v>
      </c>
      <c r="B36" s="435"/>
      <c r="C36" s="435"/>
      <c r="D36" s="435"/>
      <c r="E36" s="435"/>
      <c r="F36" s="435"/>
      <c r="G36" s="435"/>
      <c r="H36" s="436"/>
    </row>
    <row r="37" spans="1:10" ht="51" x14ac:dyDescent="0.2">
      <c r="A37" s="375">
        <v>7</v>
      </c>
      <c r="B37" s="376" t="s">
        <v>102</v>
      </c>
      <c r="C37" s="354" t="s">
        <v>103</v>
      </c>
      <c r="D37" s="377"/>
      <c r="E37" s="377"/>
      <c r="F37" s="377"/>
      <c r="G37" s="378">
        <f>(H35+G42)*3.73%</f>
        <v>28.28245983482233</v>
      </c>
      <c r="H37" s="356">
        <f>SUM(D37:G37)</f>
        <v>28.28245983482233</v>
      </c>
      <c r="I37" s="379"/>
    </row>
    <row r="38" spans="1:10" ht="145.5" customHeight="1" x14ac:dyDescent="0.2">
      <c r="A38" s="375">
        <v>8</v>
      </c>
      <c r="B38" s="376" t="s">
        <v>104</v>
      </c>
      <c r="C38" s="354" t="s">
        <v>105</v>
      </c>
      <c r="D38" s="377"/>
      <c r="E38" s="377"/>
      <c r="F38" s="377"/>
      <c r="G38" s="378">
        <f>H35*0.0214</f>
        <v>14.978830361899673</v>
      </c>
      <c r="H38" s="356">
        <f>SUM(D38:G38)</f>
        <v>14.978830361899673</v>
      </c>
      <c r="I38" s="379"/>
    </row>
    <row r="39" spans="1:10" ht="13.5" customHeight="1" x14ac:dyDescent="0.2">
      <c r="A39" s="359"/>
      <c r="B39" s="360"/>
      <c r="C39" s="361" t="s">
        <v>106</v>
      </c>
      <c r="D39" s="363"/>
      <c r="E39" s="363"/>
      <c r="F39" s="363"/>
      <c r="G39" s="362">
        <f>SUM(G37:G38)</f>
        <v>43.261290196722001</v>
      </c>
      <c r="H39" s="362">
        <f>SUM(D39:G39)</f>
        <v>43.261290196722001</v>
      </c>
    </row>
    <row r="40" spans="1:10" x14ac:dyDescent="0.2">
      <c r="A40" s="370"/>
      <c r="B40" s="371"/>
      <c r="C40" s="399" t="s">
        <v>107</v>
      </c>
      <c r="D40" s="368">
        <f>D35+D39</f>
        <v>674.42027206957198</v>
      </c>
      <c r="E40" s="368">
        <f>E35+E39</f>
        <v>0</v>
      </c>
      <c r="F40" s="368">
        <f>F35+F39</f>
        <v>0</v>
      </c>
      <c r="G40" s="368">
        <f>G35+G39</f>
        <v>68.786362141153504</v>
      </c>
      <c r="H40" s="368">
        <f>SUM(D40:G40)</f>
        <v>743.2066342107255</v>
      </c>
    </row>
    <row r="41" spans="1:10" ht="17.25" customHeight="1" x14ac:dyDescent="0.2">
      <c r="A41" s="423" t="s">
        <v>69</v>
      </c>
      <c r="B41" s="424"/>
      <c r="C41" s="424"/>
      <c r="D41" s="424"/>
      <c r="E41" s="424"/>
      <c r="F41" s="424"/>
      <c r="G41" s="424"/>
      <c r="H41" s="424"/>
    </row>
    <row r="42" spans="1:10" s="383" customFormat="1" ht="66" customHeight="1" x14ac:dyDescent="0.2">
      <c r="A42" s="380">
        <v>9</v>
      </c>
      <c r="B42" s="381" t="s">
        <v>122</v>
      </c>
      <c r="C42" s="367" t="s">
        <v>121</v>
      </c>
      <c r="D42" s="382"/>
      <c r="E42" s="382"/>
      <c r="F42" s="382"/>
      <c r="G42" s="357">
        <f>58297.547/1000</f>
        <v>58.297547000000002</v>
      </c>
      <c r="H42" s="356">
        <f>SUM(D42:G42)</f>
        <v>58.297547000000002</v>
      </c>
    </row>
    <row r="43" spans="1:10" ht="17.25" customHeight="1" x14ac:dyDescent="0.2">
      <c r="A43" s="359"/>
      <c r="B43" s="360"/>
      <c r="C43" s="361" t="s">
        <v>108</v>
      </c>
      <c r="D43" s="362"/>
      <c r="E43" s="363"/>
      <c r="F43" s="363"/>
      <c r="G43" s="363">
        <f>SUM(G42)</f>
        <v>58.297547000000002</v>
      </c>
      <c r="H43" s="363">
        <f>SUM(H42)</f>
        <v>58.297547000000002</v>
      </c>
      <c r="J43" s="364">
        <f>D43</f>
        <v>0</v>
      </c>
    </row>
    <row r="44" spans="1:10" ht="13.5" customHeight="1" x14ac:dyDescent="0.2">
      <c r="A44" s="370"/>
      <c r="B44" s="371"/>
      <c r="C44" s="399" t="s">
        <v>109</v>
      </c>
      <c r="D44" s="368">
        <f>D40+D43</f>
        <v>674.42027206957198</v>
      </c>
      <c r="E44" s="368"/>
      <c r="F44" s="368"/>
      <c r="G44" s="368">
        <f>G40+G43</f>
        <v>127.0839091411535</v>
      </c>
      <c r="H44" s="368">
        <f>SUM(D44:G44)</f>
        <v>801.50418121072551</v>
      </c>
      <c r="I44" s="372"/>
    </row>
    <row r="45" spans="1:10" x14ac:dyDescent="0.2">
      <c r="A45" s="423" t="s">
        <v>110</v>
      </c>
      <c r="B45" s="424"/>
      <c r="C45" s="424"/>
      <c r="D45" s="424"/>
      <c r="E45" s="424"/>
      <c r="F45" s="424"/>
      <c r="G45" s="424"/>
      <c r="H45" s="424"/>
    </row>
    <row r="46" spans="1:10" ht="25.5" x14ac:dyDescent="0.2">
      <c r="A46" s="375">
        <v>10</v>
      </c>
      <c r="B46" s="376" t="s">
        <v>111</v>
      </c>
      <c r="C46" s="354" t="s">
        <v>71</v>
      </c>
      <c r="D46" s="377">
        <f>D44*3%</f>
        <v>20.232608162087157</v>
      </c>
      <c r="E46" s="377"/>
      <c r="F46" s="377"/>
      <c r="G46" s="377">
        <f>G44*3%</f>
        <v>3.812517274234605</v>
      </c>
      <c r="H46" s="377">
        <f>SUM(D46:G46)</f>
        <v>24.045125436321761</v>
      </c>
      <c r="I46" s="379"/>
    </row>
    <row r="47" spans="1:10" x14ac:dyDescent="0.2">
      <c r="A47" s="359"/>
      <c r="B47" s="360"/>
      <c r="C47" s="361" t="s">
        <v>112</v>
      </c>
      <c r="D47" s="363">
        <f>D46</f>
        <v>20.232608162087157</v>
      </c>
      <c r="E47" s="363"/>
      <c r="F47" s="363"/>
      <c r="G47" s="362">
        <f>G46</f>
        <v>3.812517274234605</v>
      </c>
      <c r="H47" s="362">
        <f>SUM(D47:G47)</f>
        <v>24.045125436321761</v>
      </c>
    </row>
    <row r="48" spans="1:10" s="325" customFormat="1" x14ac:dyDescent="0.2">
      <c r="A48" s="405"/>
      <c r="B48" s="404"/>
      <c r="C48" s="398" t="s">
        <v>73</v>
      </c>
      <c r="D48" s="384">
        <f>D44+D47</f>
        <v>694.65288023165908</v>
      </c>
      <c r="E48" s="385">
        <f>E44+E47</f>
        <v>0</v>
      </c>
      <c r="F48" s="385">
        <f>F44+F47</f>
        <v>0</v>
      </c>
      <c r="G48" s="384">
        <f>ROUNDUP(G44+G47,3)</f>
        <v>130.89699999999999</v>
      </c>
      <c r="H48" s="384">
        <f>SUM(D48:G48)</f>
        <v>825.54988023165902</v>
      </c>
    </row>
    <row r="49" spans="1:9" hidden="1" x14ac:dyDescent="0.2">
      <c r="A49" s="423" t="s">
        <v>113</v>
      </c>
      <c r="B49" s="424"/>
      <c r="C49" s="424"/>
      <c r="D49" s="424"/>
      <c r="E49" s="424"/>
      <c r="F49" s="424"/>
      <c r="G49" s="424"/>
      <c r="H49" s="424"/>
    </row>
    <row r="50" spans="1:9" ht="25.9" hidden="1" customHeight="1" x14ac:dyDescent="0.2">
      <c r="A50" s="365">
        <v>10</v>
      </c>
      <c r="B50" s="366" t="s">
        <v>114</v>
      </c>
      <c r="C50" s="399" t="s">
        <v>115</v>
      </c>
      <c r="D50" s="368">
        <f>D48*0.2</f>
        <v>138.93057604633182</v>
      </c>
      <c r="E50" s="369"/>
      <c r="F50" s="369"/>
      <c r="G50" s="368">
        <f>G48*0.2</f>
        <v>26.179400000000001</v>
      </c>
      <c r="H50" s="368">
        <f>SUM(D50:G50)</f>
        <v>165.10997604633184</v>
      </c>
    </row>
    <row r="51" spans="1:9" ht="25.9" hidden="1" customHeight="1" x14ac:dyDescent="0.2">
      <c r="A51" s="370"/>
      <c r="B51" s="371"/>
      <c r="C51" s="399" t="s">
        <v>116</v>
      </c>
      <c r="D51" s="368">
        <f>D50</f>
        <v>138.93057604633182</v>
      </c>
      <c r="E51" s="369"/>
      <c r="F51" s="369"/>
      <c r="G51" s="368">
        <f>G50</f>
        <v>26.179400000000001</v>
      </c>
      <c r="H51" s="368">
        <f>SUM(D51:G51)</f>
        <v>165.10997604633184</v>
      </c>
    </row>
    <row r="52" spans="1:9" ht="12.75" hidden="1" customHeight="1" x14ac:dyDescent="0.2">
      <c r="A52" s="370"/>
      <c r="B52" s="425" t="s">
        <v>117</v>
      </c>
      <c r="C52" s="424"/>
      <c r="D52" s="384">
        <f>D48+D50</f>
        <v>833.58345627799088</v>
      </c>
      <c r="E52" s="385">
        <f>E48+E50</f>
        <v>0</v>
      </c>
      <c r="F52" s="385">
        <f>F48+F50</f>
        <v>0</v>
      </c>
      <c r="G52" s="384">
        <f>G48+G50</f>
        <v>157.07639999999998</v>
      </c>
      <c r="H52" s="384">
        <f>SUM(D52:G52)</f>
        <v>990.65985627799091</v>
      </c>
      <c r="I52" s="372"/>
    </row>
    <row r="53" spans="1:9" x14ac:dyDescent="0.2">
      <c r="D53" s="387"/>
      <c r="G53" s="387"/>
    </row>
    <row r="54" spans="1:9" ht="21" customHeight="1" x14ac:dyDescent="0.2">
      <c r="A54" s="426" t="s">
        <v>118</v>
      </c>
      <c r="B54" s="422"/>
      <c r="C54" s="422"/>
      <c r="D54" s="422"/>
      <c r="E54" s="422"/>
      <c r="F54" s="422"/>
      <c r="G54" s="422"/>
      <c r="H54" s="422"/>
    </row>
    <row r="55" spans="1:9" x14ac:dyDescent="0.2">
      <c r="A55" s="421" t="s">
        <v>119</v>
      </c>
      <c r="B55" s="422"/>
      <c r="C55" s="422"/>
      <c r="D55" s="422"/>
      <c r="E55" s="422"/>
      <c r="F55" s="422"/>
      <c r="G55" s="422"/>
      <c r="H55" s="422"/>
    </row>
    <row r="56" spans="1:9" ht="15.6" customHeight="1" x14ac:dyDescent="0.2">
      <c r="A56" s="386"/>
      <c r="B56" s="341"/>
      <c r="C56" s="342"/>
      <c r="D56" s="344"/>
      <c r="E56" s="344"/>
      <c r="F56" s="344"/>
      <c r="G56" s="344"/>
      <c r="H56" s="344"/>
    </row>
    <row r="57" spans="1:9" ht="15.6" customHeight="1" x14ac:dyDescent="0.2">
      <c r="A57" s="426" t="s">
        <v>120</v>
      </c>
      <c r="B57" s="422"/>
      <c r="C57" s="422"/>
      <c r="D57" s="422"/>
      <c r="E57" s="422"/>
      <c r="F57" s="422"/>
      <c r="G57" s="422"/>
      <c r="H57" s="422"/>
    </row>
    <row r="58" spans="1:9" ht="15.6" customHeight="1" x14ac:dyDescent="0.2">
      <c r="A58" s="421" t="s">
        <v>119</v>
      </c>
      <c r="B58" s="422"/>
      <c r="C58" s="422"/>
      <c r="D58" s="422"/>
      <c r="E58" s="422"/>
      <c r="F58" s="422"/>
      <c r="G58" s="422"/>
      <c r="H58" s="422"/>
    </row>
  </sheetData>
  <mergeCells count="35">
    <mergeCell ref="A12:H12"/>
    <mergeCell ref="C1:H1"/>
    <mergeCell ref="A3:C3"/>
    <mergeCell ref="E3:H3"/>
    <mergeCell ref="A5:D5"/>
    <mergeCell ref="E5:H5"/>
    <mergeCell ref="A4:C4"/>
    <mergeCell ref="A6:D6"/>
    <mergeCell ref="E6:H6"/>
    <mergeCell ref="A9:H9"/>
    <mergeCell ref="A11:H11"/>
    <mergeCell ref="A8:C8"/>
    <mergeCell ref="E8:F8"/>
    <mergeCell ref="A30:H30"/>
    <mergeCell ref="A36:H36"/>
    <mergeCell ref="A41:H41"/>
    <mergeCell ref="A14:A17"/>
    <mergeCell ref="B14:B17"/>
    <mergeCell ref="C14:C17"/>
    <mergeCell ref="D14:G14"/>
    <mergeCell ref="H14:H17"/>
    <mergeCell ref="D15:D17"/>
    <mergeCell ref="E15:E17"/>
    <mergeCell ref="A19:H19"/>
    <mergeCell ref="A22:H22"/>
    <mergeCell ref="A26:H26"/>
    <mergeCell ref="F15:F17"/>
    <mergeCell ref="G15:G17"/>
    <mergeCell ref="A58:H58"/>
    <mergeCell ref="A45:H45"/>
    <mergeCell ref="A49:H49"/>
    <mergeCell ref="B52:C52"/>
    <mergeCell ref="A54:H54"/>
    <mergeCell ref="A55:H55"/>
    <mergeCell ref="A57:H57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topLeftCell="A37" workbookViewId="0">
      <selection activeCell="H52" sqref="H52"/>
    </sheetView>
  </sheetViews>
  <sheetFormatPr defaultRowHeight="12.75" x14ac:dyDescent="0.2"/>
  <cols>
    <col min="1" max="1" width="5" style="340" customWidth="1"/>
    <col min="2" max="2" width="22" style="346" customWidth="1"/>
    <col min="3" max="3" width="43.85546875" style="347" customWidth="1"/>
    <col min="4" max="4" width="12.28515625" style="330" customWidth="1"/>
    <col min="5" max="5" width="13" style="330" customWidth="1"/>
    <col min="6" max="6" width="13.42578125" style="330" customWidth="1"/>
    <col min="7" max="7" width="12.5703125" style="330" customWidth="1"/>
    <col min="8" max="8" width="13.42578125" style="330" customWidth="1"/>
    <col min="9" max="9" width="9.5703125" style="329" hidden="1" customWidth="1"/>
    <col min="10" max="17" width="0" style="329" hidden="1" customWidth="1"/>
    <col min="18" max="16384" width="9.140625" style="329"/>
  </cols>
  <sheetData>
    <row r="1" spans="1:8" s="325" customFormat="1" ht="15.75" x14ac:dyDescent="0.2">
      <c r="A1" s="401" t="s">
        <v>75</v>
      </c>
      <c r="B1" s="324"/>
      <c r="C1" s="440" t="s">
        <v>76</v>
      </c>
      <c r="D1" s="441"/>
      <c r="E1" s="441"/>
      <c r="F1" s="441"/>
      <c r="G1" s="441"/>
      <c r="H1" s="441"/>
    </row>
    <row r="2" spans="1:8" ht="15.75" x14ac:dyDescent="0.2">
      <c r="A2" s="326" t="s">
        <v>77</v>
      </c>
      <c r="B2" s="327"/>
      <c r="C2" s="326"/>
      <c r="D2" s="328"/>
      <c r="E2" s="328"/>
      <c r="F2" s="328"/>
      <c r="G2" s="328"/>
      <c r="H2" s="328"/>
    </row>
    <row r="3" spans="1:8" ht="15.75" x14ac:dyDescent="0.25">
      <c r="A3" s="442" t="s">
        <v>78</v>
      </c>
      <c r="B3" s="443"/>
      <c r="C3" s="443"/>
      <c r="E3" s="444"/>
      <c r="F3" s="444"/>
      <c r="G3" s="444"/>
      <c r="H3" s="444"/>
    </row>
    <row r="4" spans="1:8" s="334" customFormat="1" ht="23.25" customHeight="1" x14ac:dyDescent="0.25">
      <c r="A4" s="448" t="s">
        <v>79</v>
      </c>
      <c r="B4" s="448"/>
      <c r="C4" s="448"/>
      <c r="D4" s="331">
        <f>H48</f>
        <v>4424.7849092393762</v>
      </c>
      <c r="E4" s="332" t="s">
        <v>80</v>
      </c>
      <c r="F4" s="333"/>
      <c r="G4" s="333"/>
      <c r="H4" s="333"/>
    </row>
    <row r="5" spans="1:8" ht="24" customHeight="1" x14ac:dyDescent="0.25">
      <c r="A5" s="445"/>
      <c r="B5" s="446"/>
      <c r="C5" s="446"/>
      <c r="D5" s="446"/>
      <c r="E5" s="447"/>
      <c r="F5" s="447"/>
      <c r="G5" s="447"/>
      <c r="H5" s="447"/>
    </row>
    <row r="6" spans="1:8" ht="21" customHeight="1" x14ac:dyDescent="0.25">
      <c r="A6" s="449" t="s">
        <v>81</v>
      </c>
      <c r="B6" s="449"/>
      <c r="C6" s="449"/>
      <c r="D6" s="449"/>
      <c r="E6" s="447"/>
      <c r="F6" s="447"/>
      <c r="G6" s="447"/>
      <c r="H6" s="447"/>
    </row>
    <row r="7" spans="1:8" ht="15.75" x14ac:dyDescent="0.25">
      <c r="A7" s="335" t="s">
        <v>82</v>
      </c>
      <c r="B7" s="336"/>
      <c r="C7" s="337"/>
      <c r="D7" s="336"/>
      <c r="E7" s="400"/>
      <c r="F7" s="400"/>
      <c r="G7" s="400"/>
      <c r="H7" s="400"/>
    </row>
    <row r="8" spans="1:8" ht="21" customHeight="1" x14ac:dyDescent="0.25">
      <c r="A8" s="430"/>
      <c r="B8" s="430"/>
      <c r="C8" s="430"/>
      <c r="D8" s="338"/>
      <c r="E8" s="431"/>
      <c r="F8" s="431"/>
      <c r="G8" s="339"/>
      <c r="H8" s="339"/>
    </row>
    <row r="9" spans="1:8" ht="18.75" x14ac:dyDescent="0.2">
      <c r="A9" s="450" t="s">
        <v>83</v>
      </c>
      <c r="B9" s="450"/>
      <c r="C9" s="450"/>
      <c r="D9" s="450"/>
      <c r="E9" s="450"/>
      <c r="F9" s="450"/>
      <c r="G9" s="450"/>
      <c r="H9" s="450"/>
    </row>
    <row r="10" spans="1:8" x14ac:dyDescent="0.2">
      <c r="B10" s="341"/>
      <c r="C10" s="342"/>
      <c r="D10" s="343"/>
      <c r="E10" s="344"/>
      <c r="F10" s="345"/>
      <c r="G10" s="345"/>
      <c r="H10" s="345"/>
    </row>
    <row r="11" spans="1:8" ht="31.5" customHeight="1" x14ac:dyDescent="0.2">
      <c r="A11" s="428" t="s">
        <v>127</v>
      </c>
      <c r="B11" s="429"/>
      <c r="C11" s="429"/>
      <c r="D11" s="429"/>
      <c r="E11" s="429"/>
      <c r="F11" s="429"/>
      <c r="G11" s="429"/>
      <c r="H11" s="429"/>
    </row>
    <row r="12" spans="1:8" x14ac:dyDescent="0.2">
      <c r="A12" s="439" t="s">
        <v>84</v>
      </c>
      <c r="B12" s="439"/>
      <c r="C12" s="439"/>
      <c r="D12" s="439"/>
      <c r="E12" s="439"/>
      <c r="F12" s="439"/>
      <c r="G12" s="439"/>
      <c r="H12" s="439"/>
    </row>
    <row r="13" spans="1:8" x14ac:dyDescent="0.2">
      <c r="B13" s="346" t="s">
        <v>126</v>
      </c>
      <c r="D13" s="348"/>
      <c r="E13" s="349"/>
      <c r="F13" s="349"/>
      <c r="G13" s="349"/>
      <c r="H13" s="349"/>
    </row>
    <row r="14" spans="1:8" ht="12.75" customHeight="1" x14ac:dyDescent="0.2">
      <c r="A14" s="427" t="s">
        <v>86</v>
      </c>
      <c r="B14" s="437" t="s">
        <v>28</v>
      </c>
      <c r="C14" s="427" t="s">
        <v>29</v>
      </c>
      <c r="D14" s="438" t="s">
        <v>30</v>
      </c>
      <c r="E14" s="438"/>
      <c r="F14" s="438"/>
      <c r="G14" s="438"/>
      <c r="H14" s="427" t="s">
        <v>87</v>
      </c>
    </row>
    <row r="15" spans="1:8" x14ac:dyDescent="0.2">
      <c r="A15" s="427"/>
      <c r="B15" s="437"/>
      <c r="C15" s="427"/>
      <c r="D15" s="427" t="s">
        <v>88</v>
      </c>
      <c r="E15" s="427" t="s">
        <v>1</v>
      </c>
      <c r="F15" s="427" t="s">
        <v>89</v>
      </c>
      <c r="G15" s="427" t="s">
        <v>90</v>
      </c>
      <c r="H15" s="427"/>
    </row>
    <row r="16" spans="1:8" x14ac:dyDescent="0.2">
      <c r="A16" s="427"/>
      <c r="B16" s="437"/>
      <c r="C16" s="427"/>
      <c r="D16" s="427"/>
      <c r="E16" s="427"/>
      <c r="F16" s="427"/>
      <c r="G16" s="427"/>
      <c r="H16" s="427"/>
    </row>
    <row r="17" spans="1:10" x14ac:dyDescent="0.2">
      <c r="A17" s="427"/>
      <c r="B17" s="437"/>
      <c r="C17" s="427"/>
      <c r="D17" s="427"/>
      <c r="E17" s="427"/>
      <c r="F17" s="427"/>
      <c r="G17" s="427"/>
      <c r="H17" s="427"/>
    </row>
    <row r="18" spans="1:10" x14ac:dyDescent="0.2">
      <c r="A18" s="350">
        <v>1</v>
      </c>
      <c r="B18" s="351">
        <v>2</v>
      </c>
      <c r="C18" s="350">
        <v>3</v>
      </c>
      <c r="D18" s="350">
        <v>4</v>
      </c>
      <c r="E18" s="350">
        <v>5</v>
      </c>
      <c r="F18" s="350">
        <v>6</v>
      </c>
      <c r="G18" s="350">
        <v>7</v>
      </c>
      <c r="H18" s="350">
        <v>8</v>
      </c>
    </row>
    <row r="19" spans="1:10" ht="15.75" customHeight="1" x14ac:dyDescent="0.2">
      <c r="A19" s="423" t="s">
        <v>31</v>
      </c>
      <c r="B19" s="424"/>
      <c r="C19" s="424"/>
      <c r="D19" s="424"/>
      <c r="E19" s="424"/>
      <c r="F19" s="424"/>
      <c r="G19" s="424"/>
      <c r="H19" s="424"/>
    </row>
    <row r="20" spans="1:10" s="358" customFormat="1" ht="14.25" customHeight="1" x14ac:dyDescent="0.2">
      <c r="A20" s="352">
        <v>1</v>
      </c>
      <c r="B20" s="353"/>
      <c r="C20" s="354"/>
      <c r="D20" s="355"/>
      <c r="E20" s="355"/>
      <c r="F20" s="355"/>
      <c r="G20" s="356">
        <v>0</v>
      </c>
      <c r="H20" s="357">
        <f>G20</f>
        <v>0</v>
      </c>
    </row>
    <row r="21" spans="1:10" ht="12" customHeight="1" x14ac:dyDescent="0.2">
      <c r="A21" s="359"/>
      <c r="B21" s="360"/>
      <c r="C21" s="361" t="s">
        <v>91</v>
      </c>
      <c r="D21" s="362"/>
      <c r="E21" s="363"/>
      <c r="F21" s="363"/>
      <c r="G21" s="362">
        <f>SUM(G20:G20)</f>
        <v>0</v>
      </c>
      <c r="H21" s="362">
        <f>SUM(H20:H20)</f>
        <v>0</v>
      </c>
      <c r="J21" s="364">
        <f>D21</f>
        <v>0</v>
      </c>
    </row>
    <row r="22" spans="1:10" x14ac:dyDescent="0.2">
      <c r="A22" s="423" t="s">
        <v>55</v>
      </c>
      <c r="B22" s="424"/>
      <c r="C22" s="424"/>
      <c r="D22" s="424"/>
      <c r="E22" s="424"/>
      <c r="F22" s="424"/>
      <c r="G22" s="424"/>
      <c r="H22" s="424"/>
    </row>
    <row r="23" spans="1:10" ht="40.5" customHeight="1" x14ac:dyDescent="0.2">
      <c r="A23" s="365">
        <v>2</v>
      </c>
      <c r="B23" s="366" t="s">
        <v>125</v>
      </c>
      <c r="C23" s="367" t="s">
        <v>124</v>
      </c>
      <c r="D23" s="368">
        <f>647809.85*5.35/1000</f>
        <v>3465.7826974999998</v>
      </c>
      <c r="E23" s="369"/>
      <c r="F23" s="369"/>
      <c r="G23" s="369"/>
      <c r="H23" s="368">
        <f>SUM(D23:G23)</f>
        <v>3465.7826974999998</v>
      </c>
    </row>
    <row r="24" spans="1:10" x14ac:dyDescent="0.2">
      <c r="A24" s="359"/>
      <c r="B24" s="360"/>
      <c r="C24" s="361" t="s">
        <v>92</v>
      </c>
      <c r="D24" s="362">
        <f>D23</f>
        <v>3465.7826974999998</v>
      </c>
      <c r="E24" s="363">
        <f>E23</f>
        <v>0</v>
      </c>
      <c r="F24" s="363">
        <f>F23</f>
        <v>0</v>
      </c>
      <c r="G24" s="363">
        <f>G23</f>
        <v>0</v>
      </c>
      <c r="H24" s="362">
        <f>SUM(D24:G24)</f>
        <v>3465.7826974999998</v>
      </c>
      <c r="J24" s="364">
        <f>D24</f>
        <v>3465.7826974999998</v>
      </c>
    </row>
    <row r="25" spans="1:10" x14ac:dyDescent="0.2">
      <c r="A25" s="370"/>
      <c r="B25" s="371"/>
      <c r="C25" s="399" t="s">
        <v>93</v>
      </c>
      <c r="D25" s="368">
        <f>D20+D24</f>
        <v>3465.7826974999998</v>
      </c>
      <c r="E25" s="369">
        <f>E20+E24</f>
        <v>0</v>
      </c>
      <c r="F25" s="369">
        <f>F20+F24</f>
        <v>0</v>
      </c>
      <c r="G25" s="368">
        <f>G20+G24</f>
        <v>0</v>
      </c>
      <c r="H25" s="368">
        <f>SUM(D25:G25)</f>
        <v>3465.7826974999998</v>
      </c>
      <c r="I25" s="372"/>
    </row>
    <row r="26" spans="1:10" x14ac:dyDescent="0.2">
      <c r="A26" s="423" t="s">
        <v>21</v>
      </c>
      <c r="B26" s="424"/>
      <c r="C26" s="424"/>
      <c r="D26" s="424"/>
      <c r="E26" s="424"/>
      <c r="F26" s="424"/>
      <c r="G26" s="424"/>
      <c r="H26" s="424"/>
    </row>
    <row r="27" spans="1:10" ht="51.6" customHeight="1" x14ac:dyDescent="0.2">
      <c r="A27" s="365">
        <v>3</v>
      </c>
      <c r="B27" s="366" t="s">
        <v>94</v>
      </c>
      <c r="C27" s="399" t="s">
        <v>60</v>
      </c>
      <c r="D27" s="357">
        <f>D24*2.64%</f>
        <v>91.496663213999994</v>
      </c>
      <c r="E27" s="369"/>
      <c r="F27" s="369"/>
      <c r="G27" s="369"/>
      <c r="H27" s="368">
        <f>SUM(D27:G27)</f>
        <v>91.496663213999994</v>
      </c>
    </row>
    <row r="28" spans="1:10" x14ac:dyDescent="0.2">
      <c r="A28" s="359"/>
      <c r="B28" s="360"/>
      <c r="C28" s="361" t="s">
        <v>95</v>
      </c>
      <c r="D28" s="362">
        <f>D27</f>
        <v>91.496663213999994</v>
      </c>
      <c r="E28" s="363">
        <f>E27</f>
        <v>0</v>
      </c>
      <c r="F28" s="363">
        <f>F27</f>
        <v>0</v>
      </c>
      <c r="G28" s="363">
        <f>G27</f>
        <v>0</v>
      </c>
      <c r="H28" s="362">
        <f>SUM(D28:G28)</f>
        <v>91.496663213999994</v>
      </c>
      <c r="J28" s="364">
        <f>D28</f>
        <v>91.496663213999994</v>
      </c>
    </row>
    <row r="29" spans="1:10" x14ac:dyDescent="0.2">
      <c r="A29" s="370"/>
      <c r="B29" s="371"/>
      <c r="C29" s="399" t="s">
        <v>96</v>
      </c>
      <c r="D29" s="368">
        <f>D25+D28</f>
        <v>3557.2793607139997</v>
      </c>
      <c r="E29" s="369">
        <f>E25+E28</f>
        <v>0</v>
      </c>
      <c r="F29" s="369">
        <f>F25+F28</f>
        <v>0</v>
      </c>
      <c r="G29" s="368">
        <f>G25+G28</f>
        <v>0</v>
      </c>
      <c r="H29" s="368">
        <f>SUM(D29:G29)</f>
        <v>3557.2793607139997</v>
      </c>
      <c r="I29" s="372"/>
    </row>
    <row r="30" spans="1:10" x14ac:dyDescent="0.2">
      <c r="A30" s="432" t="s">
        <v>9</v>
      </c>
      <c r="B30" s="433"/>
      <c r="C30" s="433"/>
      <c r="D30" s="433"/>
      <c r="E30" s="433"/>
      <c r="F30" s="433"/>
      <c r="G30" s="433"/>
      <c r="H30" s="434"/>
      <c r="I30" s="372"/>
    </row>
    <row r="31" spans="1:10" ht="25.5" x14ac:dyDescent="0.2">
      <c r="A31" s="370">
        <v>4</v>
      </c>
      <c r="B31" s="373" t="s">
        <v>97</v>
      </c>
      <c r="C31" s="374" t="s">
        <v>98</v>
      </c>
      <c r="D31" s="368">
        <f>D29*0.0143</f>
        <v>50.869094858210197</v>
      </c>
      <c r="E31" s="369"/>
      <c r="F31" s="369"/>
      <c r="G31" s="368"/>
      <c r="H31" s="368">
        <f>SUM(D31:G31)</f>
        <v>50.869094858210197</v>
      </c>
      <c r="I31" s="372"/>
    </row>
    <row r="32" spans="1:10" ht="51" x14ac:dyDescent="0.2">
      <c r="A32" s="370">
        <v>5</v>
      </c>
      <c r="B32" s="407" t="s">
        <v>63</v>
      </c>
      <c r="C32" s="367" t="s">
        <v>64</v>
      </c>
      <c r="D32" s="368"/>
      <c r="E32" s="369"/>
      <c r="F32" s="369"/>
      <c r="G32" s="368">
        <f>(D40+E40)*0.0292</f>
        <v>105.35793490270854</v>
      </c>
      <c r="H32" s="368">
        <f>SUM(D32:G32)</f>
        <v>105.35793490270854</v>
      </c>
      <c r="I32" s="372"/>
    </row>
    <row r="33" spans="1:10" x14ac:dyDescent="0.2">
      <c r="A33" s="370">
        <v>6</v>
      </c>
      <c r="B33" s="371" t="s">
        <v>123</v>
      </c>
      <c r="C33" s="399" t="s">
        <v>66</v>
      </c>
      <c r="D33" s="368"/>
      <c r="E33" s="369"/>
      <c r="F33" s="369"/>
      <c r="G33" s="368">
        <f>5832*9.19/1000</f>
        <v>53.596079999999994</v>
      </c>
      <c r="H33" s="368">
        <f>SUM(D33:G33)</f>
        <v>53.596079999999994</v>
      </c>
      <c r="I33" s="372"/>
    </row>
    <row r="34" spans="1:10" x14ac:dyDescent="0.2">
      <c r="A34" s="359"/>
      <c r="B34" s="360"/>
      <c r="C34" s="361" t="s">
        <v>99</v>
      </c>
      <c r="D34" s="362">
        <f>SUM(D31:D33)</f>
        <v>50.869094858210197</v>
      </c>
      <c r="E34" s="363">
        <f>SUM(E31:E33)</f>
        <v>0</v>
      </c>
      <c r="F34" s="363">
        <f>SUM(F31:F33)</f>
        <v>0</v>
      </c>
      <c r="G34" s="363">
        <f>SUM(G31:G33)</f>
        <v>158.95401490270854</v>
      </c>
      <c r="H34" s="362">
        <f>SUM(H31:H33)</f>
        <v>209.82310976091873</v>
      </c>
      <c r="J34" s="364"/>
    </row>
    <row r="35" spans="1:10" x14ac:dyDescent="0.2">
      <c r="A35" s="370"/>
      <c r="B35" s="371"/>
      <c r="C35" s="406" t="s">
        <v>100</v>
      </c>
      <c r="D35" s="368">
        <f>D29+D34</f>
        <v>3608.14845557221</v>
      </c>
      <c r="E35" s="368">
        <f>E29+E34</f>
        <v>0</v>
      </c>
      <c r="F35" s="368">
        <f>F29+F34</f>
        <v>0</v>
      </c>
      <c r="G35" s="368">
        <f>G29+G34</f>
        <v>158.95401490270854</v>
      </c>
      <c r="H35" s="368">
        <f>SUM(D35:G35)</f>
        <v>3767.1024704749184</v>
      </c>
      <c r="I35" s="372"/>
    </row>
    <row r="36" spans="1:10" ht="12.95" customHeight="1" x14ac:dyDescent="0.2">
      <c r="A36" s="432" t="s">
        <v>101</v>
      </c>
      <c r="B36" s="435"/>
      <c r="C36" s="435"/>
      <c r="D36" s="435"/>
      <c r="E36" s="435"/>
      <c r="F36" s="435"/>
      <c r="G36" s="435"/>
      <c r="H36" s="436"/>
    </row>
    <row r="37" spans="1:10" ht="51" x14ac:dyDescent="0.2">
      <c r="A37" s="375">
        <v>7</v>
      </c>
      <c r="B37" s="376" t="s">
        <v>102</v>
      </c>
      <c r="C37" s="354" t="s">
        <v>103</v>
      </c>
      <c r="D37" s="377"/>
      <c r="E37" s="377"/>
      <c r="F37" s="377"/>
      <c r="G37" s="378">
        <f>(H35+G42)*3.73%</f>
        <v>151.57655310571445</v>
      </c>
      <c r="H37" s="356">
        <f>SUM(D37:G37)</f>
        <v>151.57655310571445</v>
      </c>
      <c r="I37" s="379"/>
    </row>
    <row r="38" spans="1:10" ht="145.5" customHeight="1" x14ac:dyDescent="0.2">
      <c r="A38" s="375">
        <v>8</v>
      </c>
      <c r="B38" s="376" t="s">
        <v>104</v>
      </c>
      <c r="C38" s="354" t="s">
        <v>105</v>
      </c>
      <c r="D38" s="377"/>
      <c r="E38" s="377"/>
      <c r="F38" s="377"/>
      <c r="G38" s="378">
        <f>H35*0.0214</f>
        <v>80.615992868163246</v>
      </c>
      <c r="H38" s="356">
        <f>SUM(D38:G38)</f>
        <v>80.615992868163246</v>
      </c>
      <c r="I38" s="379"/>
    </row>
    <row r="39" spans="1:10" ht="13.5" customHeight="1" x14ac:dyDescent="0.2">
      <c r="A39" s="359"/>
      <c r="B39" s="360"/>
      <c r="C39" s="361" t="s">
        <v>106</v>
      </c>
      <c r="D39" s="363"/>
      <c r="E39" s="363"/>
      <c r="F39" s="363"/>
      <c r="G39" s="362">
        <f>SUM(G37:G38)</f>
        <v>232.19254597387771</v>
      </c>
      <c r="H39" s="362">
        <f>SUM(D39:G39)</f>
        <v>232.19254597387771</v>
      </c>
    </row>
    <row r="40" spans="1:10" x14ac:dyDescent="0.2">
      <c r="A40" s="370"/>
      <c r="B40" s="371"/>
      <c r="C40" s="399" t="s">
        <v>107</v>
      </c>
      <c r="D40" s="368">
        <f>D35+D39</f>
        <v>3608.14845557221</v>
      </c>
      <c r="E40" s="368">
        <f>E35+E39</f>
        <v>0</v>
      </c>
      <c r="F40" s="368">
        <f>F35+F39</f>
        <v>0</v>
      </c>
      <c r="G40" s="368">
        <f>G35+G39</f>
        <v>391.14656087658625</v>
      </c>
      <c r="H40" s="368">
        <f>SUM(D40:G40)</f>
        <v>3999.2950164487961</v>
      </c>
    </row>
    <row r="41" spans="1:10" ht="17.25" customHeight="1" x14ac:dyDescent="0.2">
      <c r="A41" s="423" t="s">
        <v>69</v>
      </c>
      <c r="B41" s="424"/>
      <c r="C41" s="424"/>
      <c r="D41" s="424"/>
      <c r="E41" s="424"/>
      <c r="F41" s="424"/>
      <c r="G41" s="424"/>
      <c r="H41" s="424"/>
    </row>
    <row r="42" spans="1:10" s="383" customFormat="1" ht="66" customHeight="1" x14ac:dyDescent="0.2">
      <c r="A42" s="380">
        <v>9</v>
      </c>
      <c r="B42" s="381" t="s">
        <v>122</v>
      </c>
      <c r="C42" s="367" t="s">
        <v>121</v>
      </c>
      <c r="D42" s="382"/>
      <c r="E42" s="382"/>
      <c r="F42" s="382"/>
      <c r="G42" s="357">
        <f>296612.09/1000</f>
        <v>296.61209000000002</v>
      </c>
      <c r="H42" s="356">
        <f>SUM(D42:G42)</f>
        <v>296.61209000000002</v>
      </c>
    </row>
    <row r="43" spans="1:10" ht="17.25" customHeight="1" x14ac:dyDescent="0.2">
      <c r="A43" s="359"/>
      <c r="B43" s="360"/>
      <c r="C43" s="361" t="s">
        <v>108</v>
      </c>
      <c r="D43" s="362"/>
      <c r="E43" s="363"/>
      <c r="F43" s="363"/>
      <c r="G43" s="363">
        <f>SUM(G42)</f>
        <v>296.61209000000002</v>
      </c>
      <c r="H43" s="363">
        <f>SUM(H42)</f>
        <v>296.61209000000002</v>
      </c>
      <c r="J43" s="364">
        <f>D43</f>
        <v>0</v>
      </c>
    </row>
    <row r="44" spans="1:10" ht="13.5" customHeight="1" x14ac:dyDescent="0.2">
      <c r="A44" s="370"/>
      <c r="B44" s="371"/>
      <c r="C44" s="399" t="s">
        <v>109</v>
      </c>
      <c r="D44" s="368">
        <f>D40+D43</f>
        <v>3608.14845557221</v>
      </c>
      <c r="E44" s="368"/>
      <c r="F44" s="368"/>
      <c r="G44" s="368">
        <f>G40+G43</f>
        <v>687.75865087658622</v>
      </c>
      <c r="H44" s="368">
        <f>SUM(D44:G44)</f>
        <v>4295.9071064487962</v>
      </c>
      <c r="I44" s="372"/>
    </row>
    <row r="45" spans="1:10" x14ac:dyDescent="0.2">
      <c r="A45" s="423" t="s">
        <v>110</v>
      </c>
      <c r="B45" s="424"/>
      <c r="C45" s="424"/>
      <c r="D45" s="424"/>
      <c r="E45" s="424"/>
      <c r="F45" s="424"/>
      <c r="G45" s="424"/>
      <c r="H45" s="424"/>
    </row>
    <row r="46" spans="1:10" ht="25.5" x14ac:dyDescent="0.2">
      <c r="A46" s="375">
        <v>10</v>
      </c>
      <c r="B46" s="376" t="s">
        <v>111</v>
      </c>
      <c r="C46" s="354" t="s">
        <v>71</v>
      </c>
      <c r="D46" s="377">
        <f>D44*3%</f>
        <v>108.2444536671663</v>
      </c>
      <c r="E46" s="377"/>
      <c r="F46" s="377"/>
      <c r="G46" s="377">
        <f>G44*3%</f>
        <v>20.632759526297587</v>
      </c>
      <c r="H46" s="377">
        <f>SUM(D46:G46)</f>
        <v>128.87721319346389</v>
      </c>
      <c r="I46" s="379"/>
    </row>
    <row r="47" spans="1:10" x14ac:dyDescent="0.2">
      <c r="A47" s="359"/>
      <c r="B47" s="360"/>
      <c r="C47" s="361" t="s">
        <v>112</v>
      </c>
      <c r="D47" s="363">
        <f>D46</f>
        <v>108.2444536671663</v>
      </c>
      <c r="E47" s="363"/>
      <c r="F47" s="363"/>
      <c r="G47" s="362">
        <f>G46</f>
        <v>20.632759526297587</v>
      </c>
      <c r="H47" s="362">
        <f>SUM(D47:G47)</f>
        <v>128.87721319346389</v>
      </c>
    </row>
    <row r="48" spans="1:10" s="325" customFormat="1" x14ac:dyDescent="0.2">
      <c r="A48" s="405"/>
      <c r="B48" s="404"/>
      <c r="C48" s="398" t="s">
        <v>73</v>
      </c>
      <c r="D48" s="384">
        <f>D44+D47</f>
        <v>3716.3929092393764</v>
      </c>
      <c r="E48" s="385">
        <f>E44+E47</f>
        <v>0</v>
      </c>
      <c r="F48" s="385">
        <f>F44+F47</f>
        <v>0</v>
      </c>
      <c r="G48" s="384">
        <f>ROUNDUP(G44+G47,3)</f>
        <v>708.39199999999994</v>
      </c>
      <c r="H48" s="384">
        <f>SUM(D48:G48)</f>
        <v>4424.7849092393762</v>
      </c>
    </row>
    <row r="49" spans="1:9" x14ac:dyDescent="0.2">
      <c r="A49" s="423" t="s">
        <v>113</v>
      </c>
      <c r="B49" s="424"/>
      <c r="C49" s="424"/>
      <c r="D49" s="424"/>
      <c r="E49" s="424"/>
      <c r="F49" s="424"/>
      <c r="G49" s="424"/>
      <c r="H49" s="424"/>
    </row>
    <row r="50" spans="1:9" ht="25.9" customHeight="1" x14ac:dyDescent="0.2">
      <c r="A50" s="365">
        <v>10</v>
      </c>
      <c r="B50" s="366" t="s">
        <v>114</v>
      </c>
      <c r="C50" s="399" t="s">
        <v>115</v>
      </c>
      <c r="D50" s="368">
        <f>D48*0.2</f>
        <v>743.27858184787533</v>
      </c>
      <c r="E50" s="369"/>
      <c r="F50" s="369"/>
      <c r="G50" s="368">
        <f>G48*0.2</f>
        <v>141.67839999999998</v>
      </c>
      <c r="H50" s="368">
        <f>SUM(D50:G50)</f>
        <v>884.95698184787534</v>
      </c>
    </row>
    <row r="51" spans="1:9" ht="25.9" customHeight="1" x14ac:dyDescent="0.2">
      <c r="A51" s="370"/>
      <c r="B51" s="371"/>
      <c r="C51" s="399" t="s">
        <v>116</v>
      </c>
      <c r="D51" s="368">
        <f>D50</f>
        <v>743.27858184787533</v>
      </c>
      <c r="E51" s="369"/>
      <c r="F51" s="369"/>
      <c r="G51" s="368">
        <f>G50</f>
        <v>141.67839999999998</v>
      </c>
      <c r="H51" s="368">
        <f>SUM(D51:G51)</f>
        <v>884.95698184787534</v>
      </c>
    </row>
    <row r="52" spans="1:9" ht="12.75" customHeight="1" x14ac:dyDescent="0.2">
      <c r="A52" s="370"/>
      <c r="B52" s="425" t="s">
        <v>117</v>
      </c>
      <c r="C52" s="424"/>
      <c r="D52" s="384">
        <f>D48+D50</f>
        <v>4459.6714910872515</v>
      </c>
      <c r="E52" s="385">
        <f>E48+E50</f>
        <v>0</v>
      </c>
      <c r="F52" s="385">
        <f>F48+F50</f>
        <v>0</v>
      </c>
      <c r="G52" s="384">
        <f>G48+G50</f>
        <v>850.07039999999995</v>
      </c>
      <c r="H52" s="384">
        <f>SUM(D52:G52)</f>
        <v>5309.7418910872511</v>
      </c>
      <c r="I52" s="372"/>
    </row>
    <row r="53" spans="1:9" x14ac:dyDescent="0.2">
      <c r="D53" s="387"/>
      <c r="G53" s="387"/>
    </row>
    <row r="54" spans="1:9" ht="21" customHeight="1" x14ac:dyDescent="0.2">
      <c r="A54" s="426" t="s">
        <v>118</v>
      </c>
      <c r="B54" s="422"/>
      <c r="C54" s="422"/>
      <c r="D54" s="422"/>
      <c r="E54" s="422"/>
      <c r="F54" s="422"/>
      <c r="G54" s="422"/>
      <c r="H54" s="422"/>
    </row>
    <row r="55" spans="1:9" x14ac:dyDescent="0.2">
      <c r="A55" s="421" t="s">
        <v>119</v>
      </c>
      <c r="B55" s="422"/>
      <c r="C55" s="422"/>
      <c r="D55" s="422"/>
      <c r="E55" s="422"/>
      <c r="F55" s="422"/>
      <c r="G55" s="422"/>
      <c r="H55" s="422"/>
    </row>
    <row r="56" spans="1:9" ht="15.6" customHeight="1" x14ac:dyDescent="0.2">
      <c r="A56" s="386"/>
      <c r="B56" s="341"/>
      <c r="C56" s="342"/>
      <c r="D56" s="344"/>
      <c r="E56" s="344"/>
      <c r="F56" s="344"/>
      <c r="G56" s="344"/>
      <c r="H56" s="344"/>
    </row>
    <row r="57" spans="1:9" ht="15.6" customHeight="1" x14ac:dyDescent="0.2">
      <c r="A57" s="426" t="s">
        <v>120</v>
      </c>
      <c r="B57" s="422"/>
      <c r="C57" s="422"/>
      <c r="D57" s="422"/>
      <c r="E57" s="422"/>
      <c r="F57" s="422"/>
      <c r="G57" s="422"/>
      <c r="H57" s="422"/>
    </row>
    <row r="58" spans="1:9" ht="15.6" customHeight="1" x14ac:dyDescent="0.2">
      <c r="A58" s="421" t="s">
        <v>119</v>
      </c>
      <c r="B58" s="422"/>
      <c r="C58" s="422"/>
      <c r="D58" s="422"/>
      <c r="E58" s="422"/>
      <c r="F58" s="422"/>
      <c r="G58" s="422"/>
      <c r="H58" s="422"/>
    </row>
  </sheetData>
  <mergeCells count="35">
    <mergeCell ref="A58:H58"/>
    <mergeCell ref="A45:H45"/>
    <mergeCell ref="A49:H49"/>
    <mergeCell ref="B52:C52"/>
    <mergeCell ref="A54:H54"/>
    <mergeCell ref="A55:H55"/>
    <mergeCell ref="A57:H57"/>
    <mergeCell ref="A30:H30"/>
    <mergeCell ref="A36:H36"/>
    <mergeCell ref="A41:H41"/>
    <mergeCell ref="A12:H12"/>
    <mergeCell ref="A14:A17"/>
    <mergeCell ref="B14:B17"/>
    <mergeCell ref="C14:C17"/>
    <mergeCell ref="D14:G14"/>
    <mergeCell ref="H14:H17"/>
    <mergeCell ref="D15:D17"/>
    <mergeCell ref="E6:H6"/>
    <mergeCell ref="A8:C8"/>
    <mergeCell ref="G15:G17"/>
    <mergeCell ref="A19:H19"/>
    <mergeCell ref="A22:H22"/>
    <mergeCell ref="A26:H26"/>
    <mergeCell ref="E15:E17"/>
    <mergeCell ref="F15:F17"/>
    <mergeCell ref="E8:F8"/>
    <mergeCell ref="A9:H9"/>
    <mergeCell ref="A11:H11"/>
    <mergeCell ref="C1:H1"/>
    <mergeCell ref="A3:C3"/>
    <mergeCell ref="E3:H3"/>
    <mergeCell ref="A4:C4"/>
    <mergeCell ref="A5:D5"/>
    <mergeCell ref="E5:H5"/>
    <mergeCell ref="A6:D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2"/>
  <sheetViews>
    <sheetView tabSelected="1" topLeftCell="A7" zoomScaleNormal="100" zoomScaleSheetLayoutView="100" workbookViewId="0">
      <pane xSplit="3" ySplit="2" topLeftCell="E30" activePane="bottomRight" state="frozen"/>
      <selection activeCell="A7" sqref="A7"/>
      <selection pane="topRight" activeCell="D7" sqref="D7"/>
      <selection pane="bottomLeft" activeCell="A9" sqref="A9"/>
      <selection pane="bottomRight" activeCell="Q48" sqref="Q48"/>
    </sheetView>
  </sheetViews>
  <sheetFormatPr defaultRowHeight="15" x14ac:dyDescent="0.25"/>
  <cols>
    <col min="2" max="2" width="16.7109375" customWidth="1"/>
    <col min="3" max="3" width="32.7109375" customWidth="1"/>
    <col min="13" max="13" width="11.42578125" customWidth="1"/>
  </cols>
  <sheetData>
    <row r="1" spans="1:18" x14ac:dyDescent="0.25">
      <c r="A1" s="37"/>
      <c r="B1" s="38"/>
      <c r="C1" s="38"/>
      <c r="D1" s="38"/>
      <c r="E1" s="38"/>
      <c r="F1" s="38"/>
      <c r="G1" s="38"/>
      <c r="H1" s="38"/>
      <c r="I1" s="5"/>
      <c r="J1" s="5"/>
      <c r="K1" s="5"/>
      <c r="L1" s="5"/>
      <c r="M1" s="5"/>
      <c r="N1" s="466" t="s">
        <v>20</v>
      </c>
      <c r="O1" s="467"/>
      <c r="P1" s="467"/>
      <c r="Q1" s="467"/>
      <c r="R1" s="467"/>
    </row>
    <row r="2" spans="1:18" x14ac:dyDescent="0.25">
      <c r="A2" s="468" t="s">
        <v>130</v>
      </c>
      <c r="B2" s="468"/>
      <c r="C2" s="468"/>
      <c r="D2" s="468"/>
      <c r="E2" s="468"/>
      <c r="F2" s="468"/>
      <c r="G2" s="468"/>
      <c r="H2" s="468"/>
      <c r="I2" s="468"/>
      <c r="J2" s="468"/>
      <c r="K2" s="468"/>
      <c r="L2" s="468"/>
      <c r="M2" s="468"/>
      <c r="N2" s="469" t="s">
        <v>134</v>
      </c>
      <c r="O2" s="469"/>
      <c r="P2" s="469"/>
      <c r="Q2" s="469"/>
      <c r="R2" s="469"/>
    </row>
    <row r="3" spans="1:18" x14ac:dyDescent="0.25">
      <c r="A3" s="468"/>
      <c r="B3" s="468"/>
      <c r="C3" s="468"/>
      <c r="D3" s="468"/>
      <c r="E3" s="468"/>
      <c r="F3" s="468"/>
      <c r="G3" s="468"/>
      <c r="H3" s="468"/>
      <c r="I3" s="468"/>
      <c r="J3" s="468"/>
      <c r="K3" s="468"/>
      <c r="L3" s="468"/>
      <c r="M3" s="468"/>
      <c r="N3" s="469"/>
      <c r="O3" s="469"/>
      <c r="P3" s="469"/>
      <c r="Q3" s="469"/>
      <c r="R3" s="469"/>
    </row>
    <row r="4" spans="1:18" ht="96" customHeight="1" x14ac:dyDescent="0.25">
      <c r="A4" s="468"/>
      <c r="B4" s="468"/>
      <c r="C4" s="468"/>
      <c r="D4" s="468"/>
      <c r="E4" s="468"/>
      <c r="F4" s="468"/>
      <c r="G4" s="468"/>
      <c r="H4" s="468"/>
      <c r="I4" s="468"/>
      <c r="J4" s="468"/>
      <c r="K4" s="468"/>
      <c r="L4" s="468"/>
      <c r="M4" s="468"/>
      <c r="N4" s="469"/>
      <c r="O4" s="469"/>
      <c r="P4" s="469"/>
      <c r="Q4" s="469"/>
      <c r="R4" s="469"/>
    </row>
    <row r="5" spans="1:18" x14ac:dyDescent="0.25">
      <c r="A5" s="470"/>
      <c r="B5" s="470"/>
      <c r="C5" s="470"/>
      <c r="D5" s="470"/>
      <c r="E5" s="470"/>
      <c r="F5" s="470"/>
      <c r="G5" s="470"/>
      <c r="H5" s="470"/>
      <c r="I5" s="470"/>
      <c r="J5" s="470"/>
      <c r="K5" s="470"/>
      <c r="L5" s="470"/>
      <c r="M5" s="470"/>
      <c r="N5" s="471"/>
      <c r="O5" s="467"/>
      <c r="P5" s="467"/>
      <c r="Q5" s="467"/>
      <c r="R5" s="467"/>
    </row>
    <row r="6" spans="1:18" ht="15.75" thickBot="1" x14ac:dyDescent="0.3">
      <c r="A6" s="472"/>
      <c r="B6" s="473"/>
      <c r="C6" s="473"/>
      <c r="D6" s="473"/>
      <c r="E6" s="473"/>
      <c r="F6" s="473"/>
      <c r="G6" s="473"/>
      <c r="H6" s="473"/>
      <c r="I6" s="6"/>
      <c r="J6" s="86"/>
      <c r="K6" s="6"/>
      <c r="L6" s="6"/>
      <c r="M6" s="6"/>
      <c r="N6" s="1"/>
      <c r="O6" s="1"/>
      <c r="P6" s="1"/>
      <c r="Q6" s="1"/>
      <c r="R6" s="1"/>
    </row>
    <row r="7" spans="1:18" ht="58.5" customHeight="1" thickBot="1" x14ac:dyDescent="0.3">
      <c r="A7" s="474" t="s">
        <v>17</v>
      </c>
      <c r="B7" s="451" t="s">
        <v>6</v>
      </c>
      <c r="C7" s="453" t="s">
        <v>7</v>
      </c>
      <c r="D7" s="455" t="s">
        <v>54</v>
      </c>
      <c r="E7" s="456"/>
      <c r="F7" s="456"/>
      <c r="G7" s="456"/>
      <c r="H7" s="457"/>
      <c r="I7" s="458" t="s">
        <v>25</v>
      </c>
      <c r="J7" s="459"/>
      <c r="K7" s="459"/>
      <c r="L7" s="459"/>
      <c r="M7" s="460"/>
      <c r="N7" s="465" t="s">
        <v>136</v>
      </c>
      <c r="O7" s="465"/>
      <c r="P7" s="465"/>
      <c r="Q7" s="465"/>
      <c r="R7" s="465"/>
    </row>
    <row r="8" spans="1:18" ht="45.75" thickBot="1" x14ac:dyDescent="0.3">
      <c r="A8" s="475"/>
      <c r="B8" s="452"/>
      <c r="C8" s="454"/>
      <c r="D8" s="19" t="s">
        <v>0</v>
      </c>
      <c r="E8" s="20" t="s">
        <v>1</v>
      </c>
      <c r="F8" s="20" t="s">
        <v>2</v>
      </c>
      <c r="G8" s="29" t="s">
        <v>3</v>
      </c>
      <c r="H8" s="28" t="s">
        <v>8</v>
      </c>
      <c r="I8" s="21" t="s">
        <v>0</v>
      </c>
      <c r="J8" s="22" t="s">
        <v>1</v>
      </c>
      <c r="K8" s="22" t="s">
        <v>2</v>
      </c>
      <c r="L8" s="23" t="s">
        <v>3</v>
      </c>
      <c r="M8" s="34" t="s">
        <v>8</v>
      </c>
      <c r="N8" s="21" t="s">
        <v>0</v>
      </c>
      <c r="O8" s="22" t="s">
        <v>1</v>
      </c>
      <c r="P8" s="22" t="s">
        <v>2</v>
      </c>
      <c r="Q8" s="23" t="s">
        <v>3</v>
      </c>
      <c r="R8" s="39" t="s">
        <v>8</v>
      </c>
    </row>
    <row r="9" spans="1:18" ht="15.75" thickBot="1" x14ac:dyDescent="0.3">
      <c r="A9" s="191">
        <v>1</v>
      </c>
      <c r="B9" s="192">
        <v>2</v>
      </c>
      <c r="C9" s="193">
        <v>3</v>
      </c>
      <c r="D9" s="16">
        <v>4</v>
      </c>
      <c r="E9" s="17">
        <v>5</v>
      </c>
      <c r="F9" s="17">
        <v>6</v>
      </c>
      <c r="G9" s="18">
        <v>7</v>
      </c>
      <c r="H9" s="30">
        <v>8</v>
      </c>
      <c r="I9" s="31">
        <v>9</v>
      </c>
      <c r="J9" s="32">
        <v>10</v>
      </c>
      <c r="K9" s="32">
        <v>11</v>
      </c>
      <c r="L9" s="33">
        <v>12</v>
      </c>
      <c r="M9" s="35">
        <v>13</v>
      </c>
      <c r="N9" s="31">
        <v>14</v>
      </c>
      <c r="O9" s="32">
        <v>15</v>
      </c>
      <c r="P9" s="32">
        <v>16</v>
      </c>
      <c r="Q9" s="33">
        <v>17</v>
      </c>
      <c r="R9" s="35">
        <v>18</v>
      </c>
    </row>
    <row r="10" spans="1:18" x14ac:dyDescent="0.25">
      <c r="A10" s="477" t="s">
        <v>31</v>
      </c>
      <c r="B10" s="478"/>
      <c r="C10" s="478"/>
      <c r="D10" s="9"/>
      <c r="E10" s="9"/>
      <c r="F10" s="9"/>
      <c r="G10" s="9"/>
      <c r="H10" s="10"/>
      <c r="I10" s="117"/>
      <c r="J10" s="9"/>
      <c r="K10" s="9"/>
      <c r="L10" s="9"/>
      <c r="M10" s="9"/>
      <c r="N10" s="116"/>
      <c r="O10" s="117"/>
      <c r="P10" s="117"/>
      <c r="Q10" s="117"/>
      <c r="R10" s="118"/>
    </row>
    <row r="11" spans="1:18" x14ac:dyDescent="0.25">
      <c r="A11" s="301">
        <v>1</v>
      </c>
      <c r="B11" s="187"/>
      <c r="C11" s="166" t="s">
        <v>37</v>
      </c>
      <c r="D11" s="287"/>
      <c r="E11" s="288"/>
      <c r="F11" s="288"/>
      <c r="G11" s="288"/>
      <c r="H11" s="289"/>
      <c r="I11" s="287"/>
      <c r="J11" s="288"/>
      <c r="K11" s="288"/>
      <c r="L11" s="288"/>
      <c r="M11" s="289"/>
      <c r="N11" s="287"/>
      <c r="O11" s="288"/>
      <c r="P11" s="288"/>
      <c r="Q11" s="290"/>
      <c r="R11" s="291"/>
    </row>
    <row r="12" spans="1:18" x14ac:dyDescent="0.25">
      <c r="A12" s="126"/>
      <c r="B12" s="297"/>
      <c r="C12" s="127" t="s">
        <v>38</v>
      </c>
      <c r="D12" s="147">
        <f>D11</f>
        <v>0</v>
      </c>
      <c r="E12" s="142">
        <f>E11</f>
        <v>0</v>
      </c>
      <c r="F12" s="142">
        <f>F11</f>
        <v>0</v>
      </c>
      <c r="G12" s="142">
        <f>+G15</f>
        <v>0</v>
      </c>
      <c r="H12" s="143">
        <f>D12+E12+F12+G12</f>
        <v>0</v>
      </c>
      <c r="I12" s="147">
        <f>I11</f>
        <v>0</v>
      </c>
      <c r="J12" s="142">
        <f>J11</f>
        <v>0</v>
      </c>
      <c r="K12" s="142">
        <f>K11</f>
        <v>0</v>
      </c>
      <c r="L12" s="142">
        <f>L11</f>
        <v>0</v>
      </c>
      <c r="M12" s="146">
        <f>I12+J12+K12+L12</f>
        <v>0</v>
      </c>
      <c r="N12" s="147">
        <f>I12*6.02</f>
        <v>0</v>
      </c>
      <c r="O12" s="142">
        <f>J12*6.02</f>
        <v>0</v>
      </c>
      <c r="P12" s="142">
        <f>K12*4.44</f>
        <v>0</v>
      </c>
      <c r="Q12" s="142">
        <f>L12*8.74</f>
        <v>0</v>
      </c>
      <c r="R12" s="143">
        <f>SUM(N12:Q12)</f>
        <v>0</v>
      </c>
    </row>
    <row r="13" spans="1:18" x14ac:dyDescent="0.25">
      <c r="A13" s="479" t="s">
        <v>55</v>
      </c>
      <c r="B13" s="480"/>
      <c r="C13" s="481"/>
      <c r="D13" s="140"/>
      <c r="E13" s="141"/>
      <c r="F13" s="141"/>
      <c r="G13" s="141"/>
      <c r="H13" s="148"/>
      <c r="I13" s="144"/>
      <c r="J13" s="145"/>
      <c r="K13" s="145"/>
      <c r="L13" s="145"/>
      <c r="M13" s="149"/>
      <c r="N13" s="150"/>
      <c r="O13" s="151"/>
      <c r="P13" s="151"/>
      <c r="Q13" s="151"/>
      <c r="R13" s="152"/>
    </row>
    <row r="14" spans="1:18" ht="51.75" customHeight="1" x14ac:dyDescent="0.25">
      <c r="A14" s="183">
        <v>2</v>
      </c>
      <c r="B14" s="189" t="s">
        <v>56</v>
      </c>
      <c r="C14" s="210" t="s">
        <v>128</v>
      </c>
      <c r="D14" s="267">
        <f>I14*5.35</f>
        <v>3465.7826974999998</v>
      </c>
      <c r="E14" s="267">
        <f>J14*7.97</f>
        <v>0</v>
      </c>
      <c r="F14" s="267">
        <f>K14*4.65</f>
        <v>0</v>
      </c>
      <c r="G14" s="43">
        <f>L14*9.19</f>
        <v>0</v>
      </c>
      <c r="H14" s="43">
        <f>SUM(D14:G14)</f>
        <v>3465.7826974999998</v>
      </c>
      <c r="I14" s="184">
        <v>647.80984999999998</v>
      </c>
      <c r="J14" s="185">
        <v>0</v>
      </c>
      <c r="K14" s="185">
        <v>0</v>
      </c>
      <c r="L14" s="186">
        <v>0</v>
      </c>
      <c r="M14" s="185">
        <f>SUM(I14:L14)</f>
        <v>647.80984999999998</v>
      </c>
      <c r="N14" s="42">
        <f>I14*5.08</f>
        <v>3290.8740379999999</v>
      </c>
      <c r="O14" s="43">
        <f>J14*6.02</f>
        <v>0</v>
      </c>
      <c r="P14" s="43">
        <f>K14*4.44</f>
        <v>0</v>
      </c>
      <c r="Q14" s="44">
        <f>L14*8.74</f>
        <v>0</v>
      </c>
      <c r="R14" s="45">
        <f>SUM(N14:Q14)</f>
        <v>3290.8740379999999</v>
      </c>
    </row>
    <row r="15" spans="1:18" ht="15.75" thickBot="1" x14ac:dyDescent="0.3">
      <c r="A15" s="155"/>
      <c r="B15" s="128" t="s">
        <v>16</v>
      </c>
      <c r="C15" s="127" t="s">
        <v>57</v>
      </c>
      <c r="D15" s="72">
        <f>SUM(D14)</f>
        <v>3465.7826974999998</v>
      </c>
      <c r="E15" s="68">
        <f>SUM(E14)</f>
        <v>0</v>
      </c>
      <c r="F15" s="68">
        <f>SUM(F14)</f>
        <v>0</v>
      </c>
      <c r="G15" s="120">
        <f>SUM(G14)</f>
        <v>0</v>
      </c>
      <c r="H15" s="268">
        <f>SUM(D15:G15)</f>
        <v>3465.7826974999998</v>
      </c>
      <c r="I15" s="72">
        <f>SUM(I14)</f>
        <v>647.80984999999998</v>
      </c>
      <c r="J15" s="68">
        <f>SUM(J14)</f>
        <v>0</v>
      </c>
      <c r="K15" s="68">
        <f>SUM(K14)</f>
        <v>0</v>
      </c>
      <c r="L15" s="120">
        <f>SUM(L14)</f>
        <v>0</v>
      </c>
      <c r="M15" s="269">
        <f>SUM(I15:L15)</f>
        <v>647.80984999999998</v>
      </c>
      <c r="N15" s="72">
        <f>SUM(N14:N14)</f>
        <v>3290.8740379999999</v>
      </c>
      <c r="O15" s="68">
        <f>SUM(O14:O14)</f>
        <v>0</v>
      </c>
      <c r="P15" s="68">
        <f>SUM(P14:P14)</f>
        <v>0</v>
      </c>
      <c r="Q15" s="120">
        <f>SUM(Q14:Q14)</f>
        <v>0</v>
      </c>
      <c r="R15" s="268">
        <f>ROUNDDOWN(SUM(N15:Q15),3)</f>
        <v>3290.8739999999998</v>
      </c>
    </row>
    <row r="16" spans="1:18" ht="15.75" thickBot="1" x14ac:dyDescent="0.3">
      <c r="C16" s="302" t="s">
        <v>58</v>
      </c>
      <c r="D16" s="303">
        <f>SUM(D15+D12)</f>
        <v>3465.7826974999998</v>
      </c>
      <c r="E16" s="303">
        <f>SUM(E15+E12)</f>
        <v>0</v>
      </c>
      <c r="F16" s="303">
        <f>SUM(F15+F12)</f>
        <v>0</v>
      </c>
      <c r="G16" s="303">
        <f>SUM(G15+G12)</f>
        <v>0</v>
      </c>
      <c r="H16" s="303">
        <f>SUM(D16:G16)</f>
        <v>3465.7826974999998</v>
      </c>
      <c r="I16" s="305">
        <f>SUM(I15+I12)</f>
        <v>647.80984999999998</v>
      </c>
      <c r="J16" s="305">
        <f>SUM(J15+J12)</f>
        <v>0</v>
      </c>
      <c r="K16" s="305">
        <f>SUM(K15+K12)</f>
        <v>0</v>
      </c>
      <c r="L16" s="305">
        <f>SUM(L15+L12)</f>
        <v>0</v>
      </c>
      <c r="M16" s="305">
        <f>SUM(I16:L16)</f>
        <v>647.80984999999998</v>
      </c>
      <c r="N16" s="304">
        <f>SUM(N15+N12)</f>
        <v>3290.8740379999999</v>
      </c>
      <c r="O16" s="304">
        <f>SUM(O15+O12)</f>
        <v>0</v>
      </c>
      <c r="P16" s="304">
        <f>SUM(P15+P12)</f>
        <v>0</v>
      </c>
      <c r="Q16" s="304">
        <f>SUM(Q15+Q12)</f>
        <v>0</v>
      </c>
      <c r="R16" s="304">
        <f>SUM(N16:Q16)</f>
        <v>3290.8740379999999</v>
      </c>
    </row>
    <row r="17" spans="1:18" ht="15.75" thickBot="1" x14ac:dyDescent="0.3">
      <c r="A17" s="482" t="s">
        <v>21</v>
      </c>
      <c r="B17" s="483"/>
      <c r="C17" s="484"/>
      <c r="D17" s="274"/>
      <c r="E17" s="274"/>
      <c r="F17" s="274"/>
      <c r="G17" s="306"/>
      <c r="H17" s="275"/>
      <c r="I17" s="276"/>
      <c r="J17" s="274"/>
      <c r="K17" s="274"/>
      <c r="L17" s="274"/>
      <c r="M17" s="275"/>
      <c r="N17" s="276"/>
      <c r="O17" s="274"/>
      <c r="P17" s="274"/>
      <c r="Q17" s="274"/>
      <c r="R17" s="277"/>
    </row>
    <row r="18" spans="1:18" ht="42" customHeight="1" x14ac:dyDescent="0.25">
      <c r="A18" s="197">
        <v>3</v>
      </c>
      <c r="B18" s="198" t="s">
        <v>59</v>
      </c>
      <c r="C18" s="199" t="s">
        <v>60</v>
      </c>
      <c r="D18" s="200">
        <f>D16*2.64%</f>
        <v>91.496663213999994</v>
      </c>
      <c r="E18" s="201">
        <f>E16*2.64%</f>
        <v>0</v>
      </c>
      <c r="F18" s="201">
        <f>F16*2.64%</f>
        <v>0</v>
      </c>
      <c r="G18" s="200">
        <f>G16*2.64%</f>
        <v>0</v>
      </c>
      <c r="H18" s="202">
        <f>SUM(D18:G18)</f>
        <v>91.496663213999994</v>
      </c>
      <c r="I18" s="203">
        <f>I16*2.64%</f>
        <v>17.10218004</v>
      </c>
      <c r="J18" s="201">
        <f>J16*2.64%</f>
        <v>0</v>
      </c>
      <c r="K18" s="201">
        <f>K16*2.64%</f>
        <v>0</v>
      </c>
      <c r="L18" s="200">
        <f>L16*2.64%</f>
        <v>0</v>
      </c>
      <c r="M18" s="202">
        <f>SUM(I18:L18)</f>
        <v>17.10218004</v>
      </c>
      <c r="N18" s="203">
        <f>N16*2.64%</f>
        <v>86.879074603199996</v>
      </c>
      <c r="O18" s="201">
        <f>O16*2.64%</f>
        <v>0</v>
      </c>
      <c r="P18" s="201">
        <f>P16*2.64%</f>
        <v>0</v>
      </c>
      <c r="Q18" s="200">
        <f>Q16*2.64%</f>
        <v>0</v>
      </c>
      <c r="R18" s="204">
        <f>SUM(N18:Q18)</f>
        <v>86.879074603199996</v>
      </c>
    </row>
    <row r="19" spans="1:18" ht="15.75" thickBot="1" x14ac:dyDescent="0.3">
      <c r="A19" s="155"/>
      <c r="B19" s="128" t="s">
        <v>16</v>
      </c>
      <c r="C19" s="127" t="s">
        <v>22</v>
      </c>
      <c r="D19" s="273">
        <f>SUM(D18)</f>
        <v>91.496663213999994</v>
      </c>
      <c r="E19" s="68">
        <f>SUM(E18)</f>
        <v>0</v>
      </c>
      <c r="F19" s="68">
        <f>SUM(F18)</f>
        <v>0</v>
      </c>
      <c r="G19" s="119">
        <f>SUM(G18)</f>
        <v>0</v>
      </c>
      <c r="H19" s="268">
        <f>SUM(D19:G19)</f>
        <v>91.496663213999994</v>
      </c>
      <c r="I19" s="273">
        <f>SUM(I18)</f>
        <v>17.10218004</v>
      </c>
      <c r="J19" s="68">
        <f>SUM(J18)</f>
        <v>0</v>
      </c>
      <c r="K19" s="68">
        <f>SUM(K18)</f>
        <v>0</v>
      </c>
      <c r="L19" s="119">
        <f>SUM(L18)</f>
        <v>0</v>
      </c>
      <c r="M19" s="268">
        <f>SUM(I19:L19)</f>
        <v>17.10218004</v>
      </c>
      <c r="N19" s="273">
        <f>SUM(N18:N18)</f>
        <v>86.879074603199996</v>
      </c>
      <c r="O19" s="68">
        <f>SUM(O18:O18)</f>
        <v>0</v>
      </c>
      <c r="P19" s="68">
        <f>P18</f>
        <v>0</v>
      </c>
      <c r="Q19" s="119">
        <f>Q18</f>
        <v>0</v>
      </c>
      <c r="R19" s="268">
        <f>SUM(N19:Q19)</f>
        <v>86.879074603199996</v>
      </c>
    </row>
    <row r="20" spans="1:18" ht="15.75" thickBot="1" x14ac:dyDescent="0.3">
      <c r="A20" s="307"/>
      <c r="B20" s="308"/>
      <c r="C20" s="309" t="s">
        <v>61</v>
      </c>
      <c r="D20" s="310">
        <f>SUM(D16+D19)</f>
        <v>3557.2793607139997</v>
      </c>
      <c r="E20" s="311">
        <f>SUM(E16+E19)</f>
        <v>0</v>
      </c>
      <c r="F20" s="311">
        <f>SUM(F16+F19)</f>
        <v>0</v>
      </c>
      <c r="G20" s="310">
        <f>SUM(G16+G19)</f>
        <v>0</v>
      </c>
      <c r="H20" s="312">
        <f>SUM(D20:G20)</f>
        <v>3557.2793607139997</v>
      </c>
      <c r="I20" s="310">
        <f>SUM(I16+I19)</f>
        <v>664.91203003999999</v>
      </c>
      <c r="J20" s="311">
        <f>SUM(J16+J19)</f>
        <v>0</v>
      </c>
      <c r="K20" s="311">
        <f>SUM(K16+K19)</f>
        <v>0</v>
      </c>
      <c r="L20" s="310">
        <f>SUM(L16+L19)</f>
        <v>0</v>
      </c>
      <c r="M20" s="312">
        <f>SUM(I20:L20)</f>
        <v>664.91203003999999</v>
      </c>
      <c r="N20" s="310">
        <f>SUM(N16+N19)</f>
        <v>3377.7531126032</v>
      </c>
      <c r="O20" s="311">
        <f>SUM(O16+O19)</f>
        <v>0</v>
      </c>
      <c r="P20" s="311">
        <f>SUM(P16+P19)</f>
        <v>0</v>
      </c>
      <c r="Q20" s="310">
        <f>SUM(Q16+Q19)</f>
        <v>0</v>
      </c>
      <c r="R20" s="313">
        <f>SUM(N20:Q20)</f>
        <v>3377.7531126032</v>
      </c>
    </row>
    <row r="21" spans="1:18" ht="15.75" thickBot="1" x14ac:dyDescent="0.3">
      <c r="A21" s="485" t="s">
        <v>9</v>
      </c>
      <c r="B21" s="483"/>
      <c r="C21" s="484"/>
      <c r="D21" s="274"/>
      <c r="E21" s="274"/>
      <c r="F21" s="274"/>
      <c r="G21" s="274"/>
      <c r="H21" s="274"/>
      <c r="I21" s="276"/>
      <c r="J21" s="274"/>
      <c r="K21" s="274"/>
      <c r="L21" s="274"/>
      <c r="M21" s="274"/>
      <c r="N21" s="276"/>
      <c r="O21" s="274"/>
      <c r="P21" s="274"/>
      <c r="Q21" s="274"/>
      <c r="R21" s="278"/>
    </row>
    <row r="22" spans="1:18" ht="36.75" customHeight="1" x14ac:dyDescent="0.25">
      <c r="A22" s="155">
        <v>4</v>
      </c>
      <c r="B22" s="167" t="s">
        <v>52</v>
      </c>
      <c r="C22" s="129" t="s">
        <v>62</v>
      </c>
      <c r="D22" s="119">
        <f>D20*1.43%</f>
        <v>50.869094858210197</v>
      </c>
      <c r="E22" s="63">
        <f>E20*1.43%</f>
        <v>0</v>
      </c>
      <c r="F22" s="63"/>
      <c r="G22" s="65"/>
      <c r="H22" s="75">
        <f>SUM(D22:G22)</f>
        <v>50.869094858210197</v>
      </c>
      <c r="I22" s="62">
        <f>I20*1.43%</f>
        <v>9.5082420295719992</v>
      </c>
      <c r="J22" s="63">
        <f>J20*1.43%</f>
        <v>0</v>
      </c>
      <c r="K22" s="63"/>
      <c r="L22" s="65"/>
      <c r="M22" s="75">
        <f>SUM(I22:L22)</f>
        <v>9.5082420295719992</v>
      </c>
      <c r="N22" s="62">
        <f>N20*1.43%</f>
        <v>48.301869510225757</v>
      </c>
      <c r="O22" s="63">
        <f>O20*1.43%</f>
        <v>0</v>
      </c>
      <c r="P22" s="63"/>
      <c r="Q22" s="65"/>
      <c r="R22" s="76">
        <f>SUM(N22:Q22)</f>
        <v>48.301869510225757</v>
      </c>
    </row>
    <row r="23" spans="1:18" ht="54.75" customHeight="1" x14ac:dyDescent="0.25">
      <c r="A23" s="155">
        <v>4</v>
      </c>
      <c r="B23" s="314" t="s">
        <v>63</v>
      </c>
      <c r="C23" s="315" t="s">
        <v>64</v>
      </c>
      <c r="D23" s="119"/>
      <c r="E23" s="65"/>
      <c r="F23" s="65"/>
      <c r="G23" s="318">
        <f>(D31+E31)*0.0292</f>
        <v>105.35793490270854</v>
      </c>
      <c r="H23" s="408">
        <f>SUM(D23:G23)</f>
        <v>105.35793490270854</v>
      </c>
      <c r="I23" s="409"/>
      <c r="J23" s="318"/>
      <c r="K23" s="318"/>
      <c r="L23" s="318">
        <f>(I31+J31)*0.0292</f>
        <v>19.693071944431502</v>
      </c>
      <c r="M23" s="75">
        <f>SUM(I23:L23)</f>
        <v>19.693071944431502</v>
      </c>
      <c r="N23" s="62"/>
      <c r="O23" s="65"/>
      <c r="P23" s="65"/>
      <c r="Q23" s="65">
        <f>(N31+O31)*0.0292</f>
        <v>100.04080547771204</v>
      </c>
      <c r="R23" s="76">
        <f>SUM(N23:Q23)</f>
        <v>100.04080547771204</v>
      </c>
    </row>
    <row r="24" spans="1:18" ht="26.25" customHeight="1" x14ac:dyDescent="0.25">
      <c r="A24" s="155">
        <v>5</v>
      </c>
      <c r="B24" s="316" t="s">
        <v>65</v>
      </c>
      <c r="C24" s="317" t="s">
        <v>66</v>
      </c>
      <c r="D24" s="119"/>
      <c r="E24" s="65"/>
      <c r="F24" s="65"/>
      <c r="G24" s="318">
        <f>SUM(L24*9.19)</f>
        <v>53.596079999999994</v>
      </c>
      <c r="H24" s="75">
        <f>SUM(D24:G24)</f>
        <v>53.596079999999994</v>
      </c>
      <c r="I24" s="62"/>
      <c r="J24" s="65"/>
      <c r="K24" s="65"/>
      <c r="L24" s="318">
        <f>5832/1000</f>
        <v>5.8319999999999999</v>
      </c>
      <c r="M24" s="75">
        <f>SUM(I24:L24)</f>
        <v>5.8319999999999999</v>
      </c>
      <c r="N24" s="62"/>
      <c r="O24" s="65"/>
      <c r="P24" s="65"/>
      <c r="Q24" s="65">
        <f>SUM(L24*8.74)</f>
        <v>50.971679999999999</v>
      </c>
      <c r="R24" s="76">
        <f>SUM(N24:Q24)</f>
        <v>50.971679999999999</v>
      </c>
    </row>
    <row r="25" spans="1:18" x14ac:dyDescent="0.25">
      <c r="A25" s="155"/>
      <c r="B25" s="128" t="s">
        <v>16</v>
      </c>
      <c r="C25" s="190" t="s">
        <v>10</v>
      </c>
      <c r="D25" s="119">
        <f>SUM(D22:D24)</f>
        <v>50.869094858210197</v>
      </c>
      <c r="E25" s="65">
        <f>SUM(E22:E24)</f>
        <v>0</v>
      </c>
      <c r="F25" s="65">
        <f>SUM(F22:F22)</f>
        <v>0</v>
      </c>
      <c r="G25" s="65">
        <f>SUM(G22:G24)</f>
        <v>158.95401490270854</v>
      </c>
      <c r="H25" s="65">
        <f>SUM(D25:G25)</f>
        <v>209.82310976091873</v>
      </c>
      <c r="I25" s="62">
        <f>SUM(I22:I24)</f>
        <v>9.5082420295719992</v>
      </c>
      <c r="J25" s="65">
        <f>SUM(J22:J24)</f>
        <v>0</v>
      </c>
      <c r="K25" s="65">
        <f>SUM(K22:K24)</f>
        <v>0</v>
      </c>
      <c r="L25" s="65">
        <f>SUM(L22:L24)</f>
        <v>25.525071944431502</v>
      </c>
      <c r="M25" s="65">
        <f>SUM(I25:L25)</f>
        <v>35.033313974003505</v>
      </c>
      <c r="N25" s="62">
        <f>SUM(N22:N24)</f>
        <v>48.301869510225757</v>
      </c>
      <c r="O25" s="65">
        <f>SUM(O22:O24)</f>
        <v>0</v>
      </c>
      <c r="P25" s="65">
        <f>SUM(P22:P24)</f>
        <v>0</v>
      </c>
      <c r="Q25" s="65">
        <f>SUM(Q22:Q24)</f>
        <v>151.01248547771203</v>
      </c>
      <c r="R25" s="76">
        <f>SUM(N25:Q25)</f>
        <v>199.3143549879378</v>
      </c>
    </row>
    <row r="26" spans="1:18" ht="15.75" thickBot="1" x14ac:dyDescent="0.3">
      <c r="A26" s="156"/>
      <c r="B26" s="130" t="s">
        <v>16</v>
      </c>
      <c r="C26" s="190" t="s">
        <v>4</v>
      </c>
      <c r="D26" s="120">
        <f>SUM(D20+D25)</f>
        <v>3608.14845557221</v>
      </c>
      <c r="E26" s="68">
        <f>SUM(E20+E25)</f>
        <v>0</v>
      </c>
      <c r="F26" s="68">
        <f>SUM(F20+F25)</f>
        <v>0</v>
      </c>
      <c r="G26" s="68">
        <f>SUM(G20+G25)</f>
        <v>158.95401490270854</v>
      </c>
      <c r="H26" s="413">
        <f>SUM(D26:G26)</f>
        <v>3767.1024704749184</v>
      </c>
      <c r="I26" s="412">
        <f>SUM(I20+I25)</f>
        <v>674.42027206957198</v>
      </c>
      <c r="J26" s="411">
        <f>SUM(J20+J25)</f>
        <v>0</v>
      </c>
      <c r="K26" s="411">
        <f>SUM(K20+K25)</f>
        <v>0</v>
      </c>
      <c r="L26" s="411">
        <f>SUM(L20+L25)</f>
        <v>25.525071944431502</v>
      </c>
      <c r="M26" s="413">
        <f>SUM(I26:L26)</f>
        <v>699.94534401400347</v>
      </c>
      <c r="N26" s="412">
        <f>SUM(N20+N25)</f>
        <v>3426.0549821134259</v>
      </c>
      <c r="O26" s="411">
        <f>SUM(O20+O25)</f>
        <v>0</v>
      </c>
      <c r="P26" s="411">
        <f>SUM(P20+P25)</f>
        <v>0</v>
      </c>
      <c r="Q26" s="411">
        <f>SUM(Q20+Q25)</f>
        <v>151.01248547771203</v>
      </c>
      <c r="R26" s="414">
        <f>SUM(N26:Q26)</f>
        <v>3577.0674675911378</v>
      </c>
    </row>
    <row r="27" spans="1:18" ht="15.75" thickBot="1" x14ac:dyDescent="0.3">
      <c r="A27" s="485" t="s">
        <v>11</v>
      </c>
      <c r="B27" s="483"/>
      <c r="C27" s="484"/>
      <c r="D27" s="270"/>
      <c r="E27" s="270"/>
      <c r="F27" s="270"/>
      <c r="G27" s="270"/>
      <c r="H27" s="279"/>
      <c r="I27" s="280"/>
      <c r="J27" s="271"/>
      <c r="K27" s="271"/>
      <c r="L27" s="271"/>
      <c r="M27" s="281"/>
      <c r="N27" s="272"/>
      <c r="O27" s="270"/>
      <c r="P27" s="270"/>
      <c r="Q27" s="270"/>
      <c r="R27" s="279"/>
    </row>
    <row r="28" spans="1:18" ht="44.25" customHeight="1" x14ac:dyDescent="0.25">
      <c r="A28" s="157">
        <v>7</v>
      </c>
      <c r="B28" s="187" t="s">
        <v>67</v>
      </c>
      <c r="C28" s="190" t="s">
        <v>68</v>
      </c>
      <c r="D28" s="282"/>
      <c r="E28" s="283"/>
      <c r="F28" s="283"/>
      <c r="G28" s="415">
        <f>(H26+G33)*3.73%</f>
        <v>151.57655310571445</v>
      </c>
      <c r="H28" s="320">
        <f>SUM(D28:G28)</f>
        <v>151.57655310571445</v>
      </c>
      <c r="I28" s="319"/>
      <c r="J28" s="416"/>
      <c r="K28" s="416"/>
      <c r="L28" s="415">
        <f>(M26+L33)*3.73%</f>
        <v>28.28245983482233</v>
      </c>
      <c r="M28" s="320">
        <f>SUM(I28:L28)</f>
        <v>28.28245983482233</v>
      </c>
      <c r="N28" s="319"/>
      <c r="O28" s="416"/>
      <c r="P28" s="416"/>
      <c r="Q28" s="415">
        <f>(R26+Q33)*3.73%</f>
        <v>144.48824749814943</v>
      </c>
      <c r="R28" s="284">
        <f>SUM(N28:Q28)</f>
        <v>144.48824749814943</v>
      </c>
    </row>
    <row r="29" spans="1:18" ht="30.75" customHeight="1" x14ac:dyDescent="0.25">
      <c r="A29" s="157">
        <v>8</v>
      </c>
      <c r="B29" s="187" t="s">
        <v>49</v>
      </c>
      <c r="C29" s="190" t="s">
        <v>50</v>
      </c>
      <c r="D29" s="121"/>
      <c r="E29" s="74"/>
      <c r="F29" s="74"/>
      <c r="G29" s="75">
        <f>H26*2.14%</f>
        <v>80.615992868163261</v>
      </c>
      <c r="H29" s="76">
        <f>SUM(D29:G29)</f>
        <v>80.615992868163261</v>
      </c>
      <c r="I29" s="73"/>
      <c r="J29" s="74"/>
      <c r="K29" s="74"/>
      <c r="L29" s="75">
        <f>M26*2.14%</f>
        <v>14.978830361899675</v>
      </c>
      <c r="M29" s="76">
        <f>SUM(I29:L29)</f>
        <v>14.978830361899675</v>
      </c>
      <c r="N29" s="73"/>
      <c r="O29" s="74"/>
      <c r="P29" s="74"/>
      <c r="Q29" s="75">
        <f>R26*2.14%</f>
        <v>76.549243806450363</v>
      </c>
      <c r="R29" s="76">
        <f>SUM(N29:Q29)</f>
        <v>76.549243806450363</v>
      </c>
    </row>
    <row r="30" spans="1:18" x14ac:dyDescent="0.25">
      <c r="A30" s="155"/>
      <c r="B30" s="128" t="s">
        <v>16</v>
      </c>
      <c r="C30" s="127" t="s">
        <v>12</v>
      </c>
      <c r="D30" s="119">
        <f>SUM(D28:D29)</f>
        <v>0</v>
      </c>
      <c r="E30" s="63">
        <f>SUM(E28:E29)</f>
        <v>0</v>
      </c>
      <c r="F30" s="63">
        <f>SUM(F28:F29)</f>
        <v>0</v>
      </c>
      <c r="G30" s="65">
        <f>SUM(G28:G29)</f>
        <v>232.19254597387771</v>
      </c>
      <c r="H30" s="64">
        <f>SUM(D30:G30)</f>
        <v>232.19254597387771</v>
      </c>
      <c r="I30" s="62">
        <f>SUM(I28:I29)</f>
        <v>0</v>
      </c>
      <c r="J30" s="63">
        <f>SUM(J28:J29)</f>
        <v>0</v>
      </c>
      <c r="K30" s="63">
        <f>SUM(K28:K29)</f>
        <v>0</v>
      </c>
      <c r="L30" s="65">
        <f>SUM(L28:L29)</f>
        <v>43.261290196722001</v>
      </c>
      <c r="M30" s="64">
        <f>SUM(I30:L30)</f>
        <v>43.261290196722001</v>
      </c>
      <c r="N30" s="62">
        <f>SUM(N28:N29)</f>
        <v>0</v>
      </c>
      <c r="O30" s="63">
        <f>SUM(O28:O29)</f>
        <v>0</v>
      </c>
      <c r="P30" s="63">
        <f>SUM(P28:P29)</f>
        <v>0</v>
      </c>
      <c r="Q30" s="65">
        <f>SUM(Q28:Q29)</f>
        <v>221.0374913045998</v>
      </c>
      <c r="R30" s="64">
        <f>SUM(N30:Q30)</f>
        <v>221.0374913045998</v>
      </c>
    </row>
    <row r="31" spans="1:18" ht="15.75" thickBot="1" x14ac:dyDescent="0.3">
      <c r="A31" s="156"/>
      <c r="B31" s="130" t="s">
        <v>16</v>
      </c>
      <c r="C31" s="131" t="s">
        <v>18</v>
      </c>
      <c r="D31" s="410">
        <f>SUM(D26+D30)</f>
        <v>3608.14845557221</v>
      </c>
      <c r="E31" s="411">
        <f>SUM(E26+E30)</f>
        <v>0</v>
      </c>
      <c r="F31" s="411">
        <f>SUM(F26+F30)</f>
        <v>0</v>
      </c>
      <c r="G31" s="411">
        <f>SUM(G26+G30)</f>
        <v>391.14656087658625</v>
      </c>
      <c r="H31" s="411">
        <f>SUM(D31:G31)</f>
        <v>3999.2950164487961</v>
      </c>
      <c r="I31" s="412">
        <f>SUM(I26+I30)</f>
        <v>674.42027206957198</v>
      </c>
      <c r="J31" s="411">
        <f>SUM(J26+J30)</f>
        <v>0</v>
      </c>
      <c r="K31" s="46">
        <f>SUM(K26+K30)</f>
        <v>0</v>
      </c>
      <c r="L31" s="46">
        <f>SUM(L26+L30)</f>
        <v>68.786362141153504</v>
      </c>
      <c r="M31" s="59">
        <f>SUM(I31:L31)</f>
        <v>743.2066342107255</v>
      </c>
      <c r="N31" s="58">
        <f>N26+N30</f>
        <v>3426.0549821134259</v>
      </c>
      <c r="O31" s="46">
        <f>O26+O30</f>
        <v>0</v>
      </c>
      <c r="P31" s="46">
        <f>P26+P30</f>
        <v>0</v>
      </c>
      <c r="Q31" s="46">
        <f>Q26+Q30</f>
        <v>372.04997678231183</v>
      </c>
      <c r="R31" s="59">
        <f>SUM(N31:Q31)</f>
        <v>3798.1049588957376</v>
      </c>
    </row>
    <row r="32" spans="1:18" ht="15.75" thickBot="1" x14ac:dyDescent="0.3">
      <c r="A32" s="485" t="s">
        <v>69</v>
      </c>
      <c r="B32" s="483"/>
      <c r="C32" s="484"/>
      <c r="D32" s="194"/>
      <c r="E32" s="194"/>
      <c r="F32" s="194"/>
      <c r="G32" s="194"/>
      <c r="H32" s="196"/>
      <c r="I32" s="195"/>
      <c r="J32" s="194"/>
      <c r="K32" s="194"/>
      <c r="L32" s="194"/>
      <c r="M32" s="196"/>
      <c r="N32" s="195"/>
      <c r="O32" s="194"/>
      <c r="P32" s="194"/>
      <c r="Q32" s="194"/>
      <c r="R32" s="196"/>
    </row>
    <row r="33" spans="1:22" ht="54.75" customHeight="1" x14ac:dyDescent="0.25">
      <c r="A33" s="157">
        <v>9</v>
      </c>
      <c r="B33" s="198" t="s">
        <v>131</v>
      </c>
      <c r="C33" s="199" t="s">
        <v>132</v>
      </c>
      <c r="D33" s="114"/>
      <c r="E33" s="53"/>
      <c r="F33" s="53"/>
      <c r="G33" s="408">
        <f>296612.09/1000</f>
        <v>296.61209000000002</v>
      </c>
      <c r="H33" s="417">
        <f>G33</f>
        <v>296.61209000000002</v>
      </c>
      <c r="I33" s="418"/>
      <c r="J33" s="419"/>
      <c r="K33" s="419"/>
      <c r="L33" s="408">
        <f>58297.547/1000</f>
        <v>58.297547000000002</v>
      </c>
      <c r="M33" s="417">
        <f>L33</f>
        <v>58.297547000000002</v>
      </c>
      <c r="N33" s="418"/>
      <c r="O33" s="419"/>
      <c r="P33" s="419"/>
      <c r="Q33" s="408">
        <f>G33</f>
        <v>296.61209000000002</v>
      </c>
      <c r="R33" s="51">
        <f>Q33</f>
        <v>296.61209000000002</v>
      </c>
    </row>
    <row r="34" spans="1:22" x14ac:dyDescent="0.25">
      <c r="A34" s="155"/>
      <c r="B34" s="188" t="s">
        <v>16</v>
      </c>
      <c r="C34" s="166" t="s">
        <v>13</v>
      </c>
      <c r="D34" s="47">
        <f>SUM(D33)</f>
        <v>0</v>
      </c>
      <c r="E34" s="55">
        <f>SUM(E33)</f>
        <v>0</v>
      </c>
      <c r="F34" s="55">
        <f>SUM(F33)</f>
        <v>0</v>
      </c>
      <c r="G34" s="56">
        <f>SUM(G33)</f>
        <v>296.61209000000002</v>
      </c>
      <c r="H34" s="57">
        <f>D34+E34+F34+G34</f>
        <v>296.61209000000002</v>
      </c>
      <c r="I34" s="54">
        <f>SUM(I33)</f>
        <v>0</v>
      </c>
      <c r="J34" s="55">
        <f>SUM(J33)</f>
        <v>0</v>
      </c>
      <c r="K34" s="55">
        <f>SUM(K33)</f>
        <v>0</v>
      </c>
      <c r="L34" s="56">
        <f>SUM(L33)</f>
        <v>58.297547000000002</v>
      </c>
      <c r="M34" s="57">
        <f>I34+J34+K34+L34</f>
        <v>58.297547000000002</v>
      </c>
      <c r="N34" s="54">
        <f>SUM(N33)</f>
        <v>0</v>
      </c>
      <c r="O34" s="55">
        <f>SUM(O33)</f>
        <v>0</v>
      </c>
      <c r="P34" s="55">
        <f>SUM(P33)</f>
        <v>0</v>
      </c>
      <c r="Q34" s="56">
        <f>SUM(Q33)</f>
        <v>296.61209000000002</v>
      </c>
      <c r="R34" s="57">
        <f>SUM(N34:Q34)</f>
        <v>296.61209000000002</v>
      </c>
    </row>
    <row r="35" spans="1:22" ht="15.75" thickBot="1" x14ac:dyDescent="0.3">
      <c r="A35" s="155"/>
      <c r="B35" s="128" t="s">
        <v>16</v>
      </c>
      <c r="C35" s="132" t="s">
        <v>19</v>
      </c>
      <c r="D35" s="47">
        <f>SUM(D31+D34)</f>
        <v>3608.14845557221</v>
      </c>
      <c r="E35" s="55">
        <f>SUM(E31+E34)</f>
        <v>0</v>
      </c>
      <c r="F35" s="55">
        <f>SUM(F31+F34)</f>
        <v>0</v>
      </c>
      <c r="G35" s="55">
        <f>SUM(G31+G34)</f>
        <v>687.75865087658622</v>
      </c>
      <c r="H35" s="59">
        <f>SUM(D35:G35)</f>
        <v>4295.9071064487962</v>
      </c>
      <c r="I35" s="54">
        <f>SUM(I31+I34)</f>
        <v>674.42027206957198</v>
      </c>
      <c r="J35" s="55">
        <f>SUM(J31+J34)</f>
        <v>0</v>
      </c>
      <c r="K35" s="55">
        <f>SUM(K31+K34)</f>
        <v>0</v>
      </c>
      <c r="L35" s="55">
        <f>SUM(L31+L34)</f>
        <v>127.0839091411535</v>
      </c>
      <c r="M35" s="59">
        <f>SUM(I35:L35)</f>
        <v>801.50418121072551</v>
      </c>
      <c r="N35" s="54">
        <f>SUM(N31+N34)</f>
        <v>3426.0549821134259</v>
      </c>
      <c r="O35" s="55">
        <f>SUM(O31+O34)</f>
        <v>0</v>
      </c>
      <c r="P35" s="55">
        <f>SUM(P31+P34)</f>
        <v>0</v>
      </c>
      <c r="Q35" s="55">
        <f>SUM(Q31+Q34)</f>
        <v>668.66206678231185</v>
      </c>
      <c r="R35" s="59">
        <f>SUM(N35:Q35)</f>
        <v>4094.7170488957377</v>
      </c>
    </row>
    <row r="36" spans="1:22" ht="15.75" thickBot="1" x14ac:dyDescent="0.3">
      <c r="A36" s="486"/>
      <c r="B36" s="487"/>
      <c r="C36" s="488"/>
      <c r="D36" s="48"/>
      <c r="E36" s="48"/>
      <c r="F36" s="48"/>
      <c r="G36" s="48"/>
      <c r="H36" s="60"/>
      <c r="I36" s="158"/>
      <c r="J36" s="48"/>
      <c r="K36" s="48"/>
      <c r="L36" s="48"/>
      <c r="M36" s="60"/>
      <c r="N36" s="158"/>
      <c r="O36" s="48"/>
      <c r="P36" s="48"/>
      <c r="Q36" s="48"/>
      <c r="R36" s="60"/>
    </row>
    <row r="37" spans="1:22" ht="31.5" customHeight="1" x14ac:dyDescent="0.25">
      <c r="A37" s="155">
        <v>10</v>
      </c>
      <c r="B37" s="187" t="s">
        <v>70</v>
      </c>
      <c r="C37" s="190" t="s">
        <v>71</v>
      </c>
      <c r="D37" s="119">
        <f>D35*3%</f>
        <v>108.2444536671663</v>
      </c>
      <c r="E37" s="50">
        <f>E35*3%</f>
        <v>0</v>
      </c>
      <c r="F37" s="50">
        <f>F35*3%</f>
        <v>0</v>
      </c>
      <c r="G37" s="50">
        <f>G35*3%</f>
        <v>20.632759526297587</v>
      </c>
      <c r="H37" s="61">
        <f>SUM(D37:G37)</f>
        <v>128.87721319346389</v>
      </c>
      <c r="I37" s="49">
        <f>I35*3%</f>
        <v>20.232608162087157</v>
      </c>
      <c r="J37" s="49">
        <f>J35*3%</f>
        <v>0</v>
      </c>
      <c r="K37" s="49">
        <f>K35*3%</f>
        <v>0</v>
      </c>
      <c r="L37" s="49">
        <f>L35*3%</f>
        <v>3.812517274234605</v>
      </c>
      <c r="M37" s="61">
        <f>ROUNDUP(SUM(I37:L37),3)</f>
        <v>24.046000000000003</v>
      </c>
      <c r="N37" s="49">
        <f>N35*3%</f>
        <v>102.78164946340277</v>
      </c>
      <c r="O37" s="50">
        <f>O35*3%</f>
        <v>0</v>
      </c>
      <c r="P37" s="50">
        <f>P35*3%</f>
        <v>0</v>
      </c>
      <c r="Q37" s="50">
        <f>(Q35-Q33)*3%</f>
        <v>11.161499303469354</v>
      </c>
      <c r="R37" s="61">
        <f>SUM(N37:Q37)</f>
        <v>113.94314876687213</v>
      </c>
    </row>
    <row r="38" spans="1:22" ht="24.75" customHeight="1" x14ac:dyDescent="0.25">
      <c r="A38" s="155"/>
      <c r="B38" s="321"/>
      <c r="C38" s="190" t="s">
        <v>72</v>
      </c>
      <c r="D38" s="119">
        <f>SUM(D37)</f>
        <v>108.2444536671663</v>
      </c>
      <c r="E38" s="53">
        <f>SUM(E37)</f>
        <v>0</v>
      </c>
      <c r="F38" s="53">
        <f>SUM(F37)</f>
        <v>0</v>
      </c>
      <c r="G38" s="53">
        <f>SUM(G37)</f>
        <v>20.632759526297587</v>
      </c>
      <c r="H38" s="51">
        <f>SUM(D38:G38)</f>
        <v>128.87721319346389</v>
      </c>
      <c r="I38" s="52">
        <f>SUM(I37)</f>
        <v>20.232608162087157</v>
      </c>
      <c r="J38" s="114">
        <f>SUM(J37)</f>
        <v>0</v>
      </c>
      <c r="K38" s="114">
        <f>SUM(K37)</f>
        <v>0</v>
      </c>
      <c r="L38" s="114">
        <f>SUM(L37)</f>
        <v>3.812517274234605</v>
      </c>
      <c r="M38" s="51">
        <f>ROUNDUP(SUM(I38:L38),3)</f>
        <v>24.046000000000003</v>
      </c>
      <c r="N38" s="52">
        <f>SUM(N37)</f>
        <v>102.78164946340277</v>
      </c>
      <c r="O38" s="53">
        <f>SUM(O37)</f>
        <v>0</v>
      </c>
      <c r="P38" s="53">
        <f>SUM(P37)</f>
        <v>0</v>
      </c>
      <c r="Q38" s="53">
        <f>SUM(Q37)</f>
        <v>11.161499303469354</v>
      </c>
      <c r="R38" s="51">
        <f>SUM(N38:Q38)</f>
        <v>113.94314876687213</v>
      </c>
    </row>
    <row r="39" spans="1:22" ht="33.75" customHeight="1" x14ac:dyDescent="0.25">
      <c r="A39" s="155"/>
      <c r="B39" s="165" t="s">
        <v>16</v>
      </c>
      <c r="C39" s="127" t="s">
        <v>73</v>
      </c>
      <c r="D39" s="119">
        <f>SUM(D35+D38)</f>
        <v>3716.3929092393764</v>
      </c>
      <c r="E39" s="63">
        <f>SUM(E35+E38)</f>
        <v>0</v>
      </c>
      <c r="F39" s="63">
        <f>SUM(F35+F38)</f>
        <v>0</v>
      </c>
      <c r="G39" s="63">
        <f>ROUNDUP(SUM(G35+G38),3)</f>
        <v>708.39199999999994</v>
      </c>
      <c r="H39" s="64">
        <f>SUM(D39:G39)</f>
        <v>4424.7849092393762</v>
      </c>
      <c r="I39" s="62">
        <f>SUM(I35+I38)</f>
        <v>694.65288023165908</v>
      </c>
      <c r="J39" s="63">
        <f>SUM(J35+J38)</f>
        <v>0</v>
      </c>
      <c r="K39" s="63">
        <f>SUM(K35+K38)</f>
        <v>0</v>
      </c>
      <c r="L39" s="63">
        <f>ROUNDUP(SUM(L35+L38),3)</f>
        <v>130.89699999999999</v>
      </c>
      <c r="M39" s="64">
        <f>SUM(I39:L39)</f>
        <v>825.54988023165902</v>
      </c>
      <c r="N39" s="62">
        <f>N35+N38</f>
        <v>3528.8366315768285</v>
      </c>
      <c r="O39" s="63">
        <f>O35+O38</f>
        <v>0</v>
      </c>
      <c r="P39" s="63">
        <f>P35+P38</f>
        <v>0</v>
      </c>
      <c r="Q39" s="63">
        <f>Q35+Q38</f>
        <v>679.82356608578118</v>
      </c>
      <c r="R39" s="64">
        <f>SUM(N39:Q39)</f>
        <v>4208.6601976626098</v>
      </c>
    </row>
    <row r="40" spans="1:22" ht="28.5" customHeight="1" x14ac:dyDescent="0.25">
      <c r="A40" s="155">
        <v>11</v>
      </c>
      <c r="B40" s="128"/>
      <c r="C40" s="133" t="s">
        <v>140</v>
      </c>
      <c r="D40" s="119"/>
      <c r="E40" s="63"/>
      <c r="F40" s="63"/>
      <c r="G40" s="65"/>
      <c r="H40" s="64"/>
      <c r="I40" s="62"/>
      <c r="J40" s="63"/>
      <c r="K40" s="63"/>
      <c r="L40" s="65"/>
      <c r="M40" s="66"/>
      <c r="N40" s="87">
        <f>N39*1.053*1.074*1.036*1.037*1.037*1.038</f>
        <v>4615.0756813607122</v>
      </c>
      <c r="O40" s="63">
        <f>O39*1.053*1.074*1.036*1.037*1.037*1.038</f>
        <v>0</v>
      </c>
      <c r="P40" s="63">
        <f>P39*1.053*1.074*1.036*1.037*1.037*1.038</f>
        <v>0</v>
      </c>
      <c r="Q40" s="63">
        <f>(Q39-Q33)*1.053*1.074*1.036*1.037*1.037*1.038+Q33</f>
        <v>797.78291447978631</v>
      </c>
      <c r="R40" s="90">
        <f>SUM(N40:Q40)</f>
        <v>5412.8585958404983</v>
      </c>
    </row>
    <row r="41" spans="1:22" ht="15.75" thickBot="1" x14ac:dyDescent="0.3">
      <c r="A41" s="156"/>
      <c r="B41" s="130"/>
      <c r="C41" s="134"/>
      <c r="D41" s="120"/>
      <c r="E41" s="68"/>
      <c r="F41" s="68"/>
      <c r="G41" s="69"/>
      <c r="H41" s="70"/>
      <c r="I41" s="67"/>
      <c r="J41" s="68"/>
      <c r="K41" s="68"/>
      <c r="L41" s="69"/>
      <c r="M41" s="71"/>
      <c r="N41" s="67"/>
      <c r="O41" s="68"/>
      <c r="P41" s="68"/>
      <c r="Q41" s="68"/>
      <c r="R41" s="70"/>
    </row>
    <row r="42" spans="1:22" x14ac:dyDescent="0.25">
      <c r="A42" s="157"/>
      <c r="B42" s="135" t="s">
        <v>16</v>
      </c>
      <c r="C42" s="136" t="s">
        <v>14</v>
      </c>
      <c r="D42" s="121">
        <f>D39</f>
        <v>3716.3929092393764</v>
      </c>
      <c r="E42" s="74">
        <f>E39</f>
        <v>0</v>
      </c>
      <c r="F42" s="74">
        <f>F39</f>
        <v>0</v>
      </c>
      <c r="G42" s="75">
        <f>G39</f>
        <v>708.39199999999994</v>
      </c>
      <c r="H42" s="76">
        <f>SUM(D42:G42)</f>
        <v>4424.7849092393762</v>
      </c>
      <c r="I42" s="73"/>
      <c r="J42" s="74"/>
      <c r="K42" s="74"/>
      <c r="L42" s="75"/>
      <c r="M42" s="77"/>
      <c r="N42" s="123">
        <f>N40</f>
        <v>4615.0756813607122</v>
      </c>
      <c r="O42" s="88">
        <f>O40</f>
        <v>0</v>
      </c>
      <c r="P42" s="88">
        <f>P40</f>
        <v>0</v>
      </c>
      <c r="Q42" s="88">
        <f>Q40</f>
        <v>797.78291447978631</v>
      </c>
      <c r="R42" s="89">
        <f>SUM(N42:Q42)</f>
        <v>5412.8585958404983</v>
      </c>
    </row>
    <row r="43" spans="1:22" x14ac:dyDescent="0.25">
      <c r="A43" s="155">
        <v>12</v>
      </c>
      <c r="B43" s="137" t="s">
        <v>16</v>
      </c>
      <c r="C43" s="127" t="s">
        <v>51</v>
      </c>
      <c r="D43" s="47">
        <f>D42*20%</f>
        <v>743.27858184787533</v>
      </c>
      <c r="E43" s="55">
        <f>E42*20%</f>
        <v>0</v>
      </c>
      <c r="F43" s="55">
        <f>F42*20%</f>
        <v>0</v>
      </c>
      <c r="G43" s="55">
        <f>G42*20%</f>
        <v>141.67839999999998</v>
      </c>
      <c r="H43" s="57">
        <f>ROUNDUP(SUM(D43:G43),3)</f>
        <v>884.95699999999999</v>
      </c>
      <c r="I43" s="78"/>
      <c r="J43" s="79"/>
      <c r="K43" s="79"/>
      <c r="L43" s="80"/>
      <c r="M43" s="81"/>
      <c r="N43" s="124">
        <f>N42*20%</f>
        <v>923.01513627214251</v>
      </c>
      <c r="O43" s="79">
        <f>O42*20%</f>
        <v>0</v>
      </c>
      <c r="P43" s="79">
        <f>P42*20%</f>
        <v>0</v>
      </c>
      <c r="Q43" s="79">
        <f>Q42*20%</f>
        <v>159.55658289595726</v>
      </c>
      <c r="R43" s="81">
        <f>SUM(N43:Q43)</f>
        <v>1082.5717191680997</v>
      </c>
    </row>
    <row r="44" spans="1:22" ht="27" customHeight="1" thickBot="1" x14ac:dyDescent="0.3">
      <c r="A44" s="156"/>
      <c r="B44" s="138" t="s">
        <v>16</v>
      </c>
      <c r="C44" s="139" t="s">
        <v>15</v>
      </c>
      <c r="D44" s="115">
        <f>ROUNDUP(D42+D43,3)</f>
        <v>4459.6720000000005</v>
      </c>
      <c r="E44" s="46">
        <f>E42+E43</f>
        <v>0</v>
      </c>
      <c r="F44" s="46">
        <f>F42+F43</f>
        <v>0</v>
      </c>
      <c r="G44" s="46">
        <f>G42+G43</f>
        <v>850.07039999999995</v>
      </c>
      <c r="H44" s="59">
        <f>SUM(D44:G44)</f>
        <v>5309.7424000000001</v>
      </c>
      <c r="I44" s="82"/>
      <c r="J44" s="83"/>
      <c r="K44" s="83"/>
      <c r="L44" s="84"/>
      <c r="M44" s="85"/>
      <c r="N44" s="125">
        <f>N42+N43</f>
        <v>5538.0908176328549</v>
      </c>
      <c r="O44" s="83">
        <f>O42+O43</f>
        <v>0</v>
      </c>
      <c r="P44" s="83">
        <f>P42+P43</f>
        <v>0</v>
      </c>
      <c r="Q44" s="83">
        <f>Q42+Q43</f>
        <v>957.33949737574358</v>
      </c>
      <c r="R44" s="85">
        <f>SUM(N44:Q44)</f>
        <v>6495.430315008598</v>
      </c>
    </row>
    <row r="45" spans="1:22" x14ac:dyDescent="0.25">
      <c r="A45" s="2" t="s">
        <v>16</v>
      </c>
      <c r="B45" s="489" t="s">
        <v>16</v>
      </c>
      <c r="C45" s="490"/>
      <c r="D45" s="491" t="s">
        <v>16</v>
      </c>
      <c r="E45" s="492"/>
      <c r="F45" s="461" t="s">
        <v>16</v>
      </c>
      <c r="G45" s="462"/>
      <c r="H45" s="462"/>
      <c r="I45" s="153"/>
      <c r="J45" s="153"/>
      <c r="K45" s="153"/>
      <c r="L45" s="153"/>
      <c r="M45" s="154"/>
      <c r="N45" s="1"/>
      <c r="O45" s="1"/>
      <c r="P45" s="1"/>
      <c r="Q45" s="1"/>
      <c r="R45" s="1"/>
    </row>
    <row r="46" spans="1:22" ht="33.75" x14ac:dyDescent="0.25">
      <c r="A46" s="2"/>
      <c r="B46" s="463" t="s">
        <v>135</v>
      </c>
      <c r="C46" s="464"/>
      <c r="D46" s="464"/>
      <c r="E46" s="464"/>
      <c r="F46" s="464"/>
      <c r="G46" s="464"/>
      <c r="H46" s="464"/>
      <c r="I46" s="464"/>
      <c r="J46" s="113"/>
      <c r="K46" s="113"/>
      <c r="L46" s="113"/>
      <c r="M46" s="24"/>
      <c r="N46" s="476" t="s">
        <v>74</v>
      </c>
      <c r="O46" s="476"/>
      <c r="P46" s="476"/>
      <c r="Q46" s="262">
        <f>H39</f>
        <v>4424.7849092393762</v>
      </c>
      <c r="R46" s="122" t="s">
        <v>24</v>
      </c>
    </row>
    <row r="47" spans="1:22" ht="33.75" x14ac:dyDescent="0.25">
      <c r="A47" s="2"/>
      <c r="B47" s="12"/>
      <c r="C47" s="322"/>
      <c r="D47" s="322"/>
      <c r="E47" s="322"/>
      <c r="F47" s="322"/>
      <c r="G47" s="323"/>
      <c r="H47" s="323"/>
      <c r="I47" s="322"/>
      <c r="J47" s="24"/>
      <c r="K47" s="24"/>
      <c r="L47" s="466" t="s">
        <v>23</v>
      </c>
      <c r="M47" s="466"/>
      <c r="N47" s="476" t="s">
        <v>39</v>
      </c>
      <c r="O47" s="476"/>
      <c r="P47" s="476"/>
      <c r="Q47" s="262">
        <f>R40</f>
        <v>5412.8585958404983</v>
      </c>
      <c r="R47" s="122" t="s">
        <v>24</v>
      </c>
    </row>
    <row r="48" spans="1:22" ht="33.75" x14ac:dyDescent="0.25">
      <c r="A48" s="2"/>
      <c r="B48" s="494" t="s">
        <v>40</v>
      </c>
      <c r="C48" s="495"/>
      <c r="D48" s="495"/>
      <c r="E48" s="495"/>
      <c r="F48" s="495"/>
      <c r="G48" s="495"/>
      <c r="H48" s="495"/>
      <c r="I48" s="495"/>
      <c r="J48" s="11" t="s">
        <v>27</v>
      </c>
      <c r="K48" s="11"/>
      <c r="L48" s="466"/>
      <c r="M48" s="466"/>
      <c r="N48" s="476" t="s">
        <v>137</v>
      </c>
      <c r="O48" s="476"/>
      <c r="P48" s="476"/>
      <c r="Q48" s="263">
        <f>'НМЦ лота СМР '!H44</f>
        <v>585.72594143202332</v>
      </c>
      <c r="R48" s="122" t="s">
        <v>24</v>
      </c>
      <c r="T48" t="s">
        <v>141</v>
      </c>
      <c r="U48" t="s">
        <v>146</v>
      </c>
      <c r="V48" t="s">
        <v>147</v>
      </c>
    </row>
    <row r="49" spans="1:22" ht="43.5" customHeight="1" x14ac:dyDescent="0.25">
      <c r="A49" s="1"/>
      <c r="B49" s="26"/>
      <c r="C49" s="26"/>
      <c r="D49" s="26"/>
      <c r="E49" s="26"/>
      <c r="F49" s="26"/>
      <c r="G49" s="26"/>
      <c r="H49" s="26"/>
      <c r="I49" s="7"/>
      <c r="J49" s="7"/>
      <c r="K49" s="496" t="s">
        <v>26</v>
      </c>
      <c r="L49" s="497"/>
      <c r="M49" s="497"/>
      <c r="N49" s="476" t="s">
        <v>138</v>
      </c>
      <c r="O49" s="476"/>
      <c r="P49" s="476"/>
      <c r="Q49" s="262">
        <f>R42</f>
        <v>5412.8585958404983</v>
      </c>
      <c r="R49" s="122" t="s">
        <v>24</v>
      </c>
      <c r="T49">
        <v>19.72</v>
      </c>
      <c r="U49">
        <f>Q48/T49</f>
        <v>29.702126847465689</v>
      </c>
      <c r="V49">
        <f>Q49/T49</f>
        <v>274.48573001219569</v>
      </c>
    </row>
    <row r="50" spans="1:22" x14ac:dyDescent="0.25">
      <c r="A50" s="1"/>
      <c r="B50" s="298"/>
      <c r="C50" s="298"/>
      <c r="D50" s="298"/>
      <c r="E50" s="298"/>
      <c r="F50" s="298"/>
      <c r="G50" s="27"/>
      <c r="H50" s="27"/>
      <c r="I50" s="299"/>
      <c r="J50" s="299"/>
      <c r="K50" s="299"/>
      <c r="L50" s="471" t="s">
        <v>47</v>
      </c>
      <c r="M50" s="471"/>
      <c r="N50" s="40"/>
      <c r="O50" s="40"/>
      <c r="P50" s="40"/>
      <c r="Q50" s="40"/>
      <c r="R50" s="40"/>
    </row>
    <row r="51" spans="1:22" x14ac:dyDescent="0.25">
      <c r="A51" s="1"/>
      <c r="B51" s="13"/>
      <c r="C51" s="13"/>
      <c r="D51" s="13"/>
      <c r="E51" s="13"/>
      <c r="F51" s="13"/>
      <c r="G51" s="13"/>
      <c r="H51" s="13"/>
      <c r="I51" s="7"/>
      <c r="J51" s="7"/>
      <c r="K51" s="7"/>
      <c r="L51" s="471" t="s">
        <v>139</v>
      </c>
      <c r="M51" s="471"/>
      <c r="N51" s="41"/>
      <c r="O51" s="41"/>
      <c r="P51" s="41"/>
      <c r="Q51" s="41"/>
      <c r="R51" s="41"/>
    </row>
    <row r="52" spans="1:22" x14ac:dyDescent="0.25">
      <c r="A52" s="1"/>
      <c r="B52" s="4"/>
      <c r="C52" s="493"/>
      <c r="D52" s="493"/>
      <c r="E52" s="493"/>
      <c r="F52" s="493"/>
      <c r="G52" s="493"/>
      <c r="H52" s="3"/>
      <c r="I52" s="8"/>
      <c r="J52" s="8"/>
      <c r="K52" s="8"/>
      <c r="L52" s="8"/>
      <c r="M52" s="8"/>
      <c r="N52" s="1"/>
      <c r="O52" s="1"/>
      <c r="P52" s="1"/>
      <c r="Q52" s="1"/>
      <c r="R52" s="36"/>
    </row>
  </sheetData>
  <mergeCells count="34">
    <mergeCell ref="L50:M50"/>
    <mergeCell ref="L51:M51"/>
    <mergeCell ref="C52:G52"/>
    <mergeCell ref="L47:M47"/>
    <mergeCell ref="N47:P47"/>
    <mergeCell ref="B48:I48"/>
    <mergeCell ref="L48:M48"/>
    <mergeCell ref="N48:P48"/>
    <mergeCell ref="K49:M49"/>
    <mergeCell ref="N49:P49"/>
    <mergeCell ref="N46:P46"/>
    <mergeCell ref="A10:C10"/>
    <mergeCell ref="A13:C13"/>
    <mergeCell ref="A17:C17"/>
    <mergeCell ref="A21:C21"/>
    <mergeCell ref="A27:C27"/>
    <mergeCell ref="A32:C32"/>
    <mergeCell ref="A36:C36"/>
    <mergeCell ref="B45:C45"/>
    <mergeCell ref="D45:E45"/>
    <mergeCell ref="N7:R7"/>
    <mergeCell ref="N1:R1"/>
    <mergeCell ref="A2:M4"/>
    <mergeCell ref="N2:R4"/>
    <mergeCell ref="A5:M5"/>
    <mergeCell ref="N5:R5"/>
    <mergeCell ref="A6:H6"/>
    <mergeCell ref="A7:A8"/>
    <mergeCell ref="B7:B8"/>
    <mergeCell ref="C7:C8"/>
    <mergeCell ref="D7:H7"/>
    <mergeCell ref="I7:M7"/>
    <mergeCell ref="F45:H45"/>
    <mergeCell ref="B46:I46"/>
  </mergeCells>
  <conditionalFormatting sqref="N1:R1">
    <cfRule type="cellIs" dxfId="0" priority="1" operator="equal">
      <formula>0</formula>
    </cfRule>
  </conditionalFormatting>
  <pageMargins left="0.7" right="0.7" top="0.75" bottom="0.75" header="0.3" footer="0.3"/>
  <pageSetup paperSize="9" scale="46" orientation="portrait" r:id="rId1"/>
  <colBreaks count="1" manualBreakCount="1">
    <brk id="17" max="51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55"/>
  <sheetViews>
    <sheetView view="pageBreakPreview" topLeftCell="A13" zoomScale="75" zoomScaleNormal="80" zoomScaleSheetLayoutView="75" workbookViewId="0">
      <selection activeCell="H44" sqref="H44"/>
    </sheetView>
  </sheetViews>
  <sheetFormatPr defaultRowHeight="12.75" x14ac:dyDescent="0.2"/>
  <cols>
    <col min="1" max="1" width="9.42578125" style="112" customWidth="1"/>
    <col min="2" max="2" width="26.28515625" style="112" customWidth="1"/>
    <col min="3" max="3" width="71" style="1" customWidth="1"/>
    <col min="4" max="4" width="17.5703125" style="1" customWidth="1"/>
    <col min="5" max="6" width="15.28515625" style="1" customWidth="1"/>
    <col min="7" max="7" width="14.7109375" style="1" customWidth="1"/>
    <col min="8" max="8" width="15" style="1" customWidth="1"/>
    <col min="9" max="9" width="15.28515625" style="1" customWidth="1"/>
    <col min="10" max="10" width="11.7109375" style="1" bestFit="1" customWidth="1"/>
    <col min="11" max="11" width="12.42578125" style="1" customWidth="1"/>
    <col min="12" max="246" width="9.140625" style="1"/>
    <col min="247" max="247" width="5.140625" style="1" customWidth="1"/>
    <col min="248" max="248" width="12.42578125" style="1" customWidth="1"/>
    <col min="249" max="249" width="25.42578125" style="1" customWidth="1"/>
    <col min="250" max="254" width="10.28515625" style="1" customWidth="1"/>
    <col min="255" max="16384" width="9.140625" style="1"/>
  </cols>
  <sheetData>
    <row r="1" spans="1:11" ht="14.25" x14ac:dyDescent="0.2">
      <c r="A1" s="92"/>
      <c r="B1" s="92"/>
      <c r="C1" s="91"/>
      <c r="D1" s="91"/>
      <c r="E1" s="91"/>
      <c r="F1" s="91"/>
      <c r="G1" s="91"/>
      <c r="H1" s="296" t="s">
        <v>20</v>
      </c>
    </row>
    <row r="2" spans="1:11" ht="19.5" customHeight="1" x14ac:dyDescent="0.2">
      <c r="A2" s="92"/>
      <c r="B2" s="92"/>
      <c r="C2" s="91"/>
      <c r="D2" s="469" t="s">
        <v>133</v>
      </c>
      <c r="E2" s="469"/>
      <c r="F2" s="469"/>
      <c r="G2" s="469"/>
      <c r="H2" s="469"/>
    </row>
    <row r="3" spans="1:11" ht="12.75" customHeight="1" x14ac:dyDescent="0.2">
      <c r="A3" s="178"/>
      <c r="B3" s="93"/>
      <c r="C3" s="94"/>
      <c r="D3" s="469"/>
      <c r="E3" s="469"/>
      <c r="F3" s="469"/>
      <c r="G3" s="469"/>
      <c r="H3" s="469"/>
    </row>
    <row r="4" spans="1:11" ht="60.75" customHeight="1" x14ac:dyDescent="0.2">
      <c r="A4" s="178"/>
      <c r="B4" s="95"/>
      <c r="C4" s="96"/>
      <c r="D4" s="469"/>
      <c r="E4" s="469"/>
      <c r="F4" s="469"/>
      <c r="G4" s="469"/>
      <c r="H4" s="469"/>
    </row>
    <row r="5" spans="1:11" ht="15" x14ac:dyDescent="0.2">
      <c r="A5" s="178"/>
      <c r="B5" s="95"/>
      <c r="C5" s="96"/>
      <c r="D5" s="97"/>
      <c r="E5" s="97"/>
      <c r="F5" s="97"/>
      <c r="G5" s="97"/>
      <c r="H5" s="97"/>
    </row>
    <row r="6" spans="1:11" ht="49.5" customHeight="1" x14ac:dyDescent="0.2">
      <c r="A6" s="498" t="s">
        <v>129</v>
      </c>
      <c r="B6" s="498"/>
      <c r="C6" s="498"/>
      <c r="D6" s="498"/>
      <c r="E6" s="498"/>
      <c r="F6" s="498"/>
      <c r="G6" s="498"/>
      <c r="H6" s="498"/>
    </row>
    <row r="7" spans="1:11" ht="15" x14ac:dyDescent="0.2">
      <c r="A7" s="179"/>
      <c r="B7" s="95"/>
      <c r="C7" s="38"/>
      <c r="D7" s="38"/>
      <c r="E7" s="38"/>
      <c r="F7" s="38" t="s">
        <v>45</v>
      </c>
      <c r="G7" s="38"/>
      <c r="H7" s="38"/>
    </row>
    <row r="8" spans="1:11" ht="18.75" customHeight="1" thickBot="1" x14ac:dyDescent="0.25">
      <c r="A8" s="499" t="s">
        <v>46</v>
      </c>
      <c r="B8" s="499"/>
      <c r="C8" s="499"/>
      <c r="D8" s="499"/>
      <c r="E8" s="499"/>
      <c r="F8" s="499"/>
      <c r="G8" s="499"/>
      <c r="H8" s="499"/>
    </row>
    <row r="9" spans="1:11" ht="13.5" customHeight="1" thickBot="1" x14ac:dyDescent="0.25">
      <c r="A9" s="474" t="s">
        <v>17</v>
      </c>
      <c r="B9" s="500" t="s">
        <v>28</v>
      </c>
      <c r="C9" s="501" t="s">
        <v>29</v>
      </c>
      <c r="D9" s="503" t="s">
        <v>30</v>
      </c>
      <c r="E9" s="503"/>
      <c r="F9" s="503"/>
      <c r="G9" s="503"/>
      <c r="H9" s="504" t="s">
        <v>8</v>
      </c>
    </row>
    <row r="10" spans="1:11" ht="21.75" thickBot="1" x14ac:dyDescent="0.25">
      <c r="A10" s="475"/>
      <c r="B10" s="452"/>
      <c r="C10" s="502"/>
      <c r="D10" s="98" t="s">
        <v>0</v>
      </c>
      <c r="E10" s="99" t="s">
        <v>1</v>
      </c>
      <c r="F10" s="99" t="s">
        <v>2</v>
      </c>
      <c r="G10" s="100" t="s">
        <v>3</v>
      </c>
      <c r="H10" s="505"/>
    </row>
    <row r="11" spans="1:11" ht="13.5" thickBot="1" x14ac:dyDescent="0.25">
      <c r="A11" s="14">
        <v>1</v>
      </c>
      <c r="B11" s="15">
        <v>2</v>
      </c>
      <c r="C11" s="25">
        <v>3</v>
      </c>
      <c r="D11" s="101">
        <v>4</v>
      </c>
      <c r="E11" s="102">
        <v>5</v>
      </c>
      <c r="F11" s="102">
        <v>6</v>
      </c>
      <c r="G11" s="103">
        <v>7</v>
      </c>
      <c r="H11" s="30">
        <v>8</v>
      </c>
    </row>
    <row r="12" spans="1:11" ht="15" customHeight="1" x14ac:dyDescent="0.2">
      <c r="A12" s="513" t="s">
        <v>31</v>
      </c>
      <c r="B12" s="514"/>
      <c r="C12" s="515"/>
      <c r="D12" s="173"/>
      <c r="E12" s="174"/>
      <c r="F12" s="174"/>
      <c r="G12" s="174"/>
      <c r="H12" s="175"/>
    </row>
    <row r="13" spans="1:11" ht="20.25" customHeight="1" x14ac:dyDescent="0.25">
      <c r="A13" s="237"/>
      <c r="B13" s="239"/>
      <c r="C13" s="249"/>
      <c r="D13" s="292"/>
      <c r="E13" s="293"/>
      <c r="F13" s="293"/>
      <c r="G13" s="294"/>
      <c r="H13" s="295"/>
    </row>
    <row r="14" spans="1:11" ht="15" customHeight="1" x14ac:dyDescent="0.2">
      <c r="A14" s="516" t="s">
        <v>55</v>
      </c>
      <c r="B14" s="514"/>
      <c r="C14" s="515"/>
      <c r="D14" s="205"/>
      <c r="E14" s="206"/>
      <c r="F14" s="206"/>
      <c r="G14" s="206"/>
      <c r="H14" s="207"/>
    </row>
    <row r="15" spans="1:11" s="159" customFormat="1" ht="52.5" customHeight="1" x14ac:dyDescent="0.2">
      <c r="A15" s="238">
        <v>1</v>
      </c>
      <c r="B15" s="397" t="s">
        <v>56</v>
      </c>
      <c r="C15" s="389" t="s">
        <v>128</v>
      </c>
      <c r="D15" s="403">
        <f>'от ССР_Форма 1'!I14</f>
        <v>647.80984999999998</v>
      </c>
      <c r="E15" s="212">
        <v>0</v>
      </c>
      <c r="F15" s="212">
        <v>0</v>
      </c>
      <c r="G15" s="212">
        <v>0</v>
      </c>
      <c r="H15" s="213">
        <f>SUM(D15:G15)</f>
        <v>647.80984999999998</v>
      </c>
      <c r="I15" s="208"/>
      <c r="J15" s="209"/>
      <c r="K15" s="177"/>
    </row>
    <row r="16" spans="1:11" ht="18" customHeight="1" x14ac:dyDescent="0.25">
      <c r="A16" s="237"/>
      <c r="B16" s="239"/>
      <c r="C16" s="240"/>
      <c r="D16" s="211"/>
      <c r="E16" s="212"/>
      <c r="F16" s="212"/>
      <c r="G16" s="212"/>
      <c r="H16" s="213"/>
    </row>
    <row r="17" spans="1:24" ht="18" hidden="1" customHeight="1" x14ac:dyDescent="0.2">
      <c r="A17" s="237"/>
      <c r="B17" s="241"/>
      <c r="C17" s="242"/>
      <c r="D17" s="211"/>
      <c r="E17" s="212"/>
      <c r="F17" s="212"/>
      <c r="G17" s="212"/>
      <c r="H17" s="213"/>
    </row>
    <row r="18" spans="1:24" ht="18" hidden="1" customHeight="1" x14ac:dyDescent="0.2">
      <c r="A18" s="237"/>
      <c r="B18" s="241"/>
      <c r="C18" s="242"/>
      <c r="D18" s="211"/>
      <c r="E18" s="212"/>
      <c r="F18" s="212"/>
      <c r="G18" s="212"/>
      <c r="H18" s="213"/>
    </row>
    <row r="19" spans="1:24" ht="18" hidden="1" customHeight="1" x14ac:dyDescent="0.2">
      <c r="A19" s="237"/>
      <c r="B19" s="241"/>
      <c r="C19" s="242"/>
      <c r="D19" s="211"/>
      <c r="E19" s="212"/>
      <c r="F19" s="212"/>
      <c r="G19" s="212"/>
      <c r="H19" s="213"/>
    </row>
    <row r="20" spans="1:24" ht="18" customHeight="1" x14ac:dyDescent="0.2">
      <c r="A20" s="237"/>
      <c r="B20" s="243"/>
      <c r="C20" s="390" t="s">
        <v>57</v>
      </c>
      <c r="D20" s="214">
        <f>SUM(D15:D19)</f>
        <v>647.80984999999998</v>
      </c>
      <c r="E20" s="215">
        <f>SUM(E15:E19)</f>
        <v>0</v>
      </c>
      <c r="F20" s="215">
        <f>SUM(F15:F19)</f>
        <v>0</v>
      </c>
      <c r="G20" s="215">
        <f>SUM(G15:G19)</f>
        <v>0</v>
      </c>
      <c r="H20" s="264">
        <f>SUM(H15:H19)</f>
        <v>647.80984999999998</v>
      </c>
    </row>
    <row r="21" spans="1:24" ht="15" hidden="1" x14ac:dyDescent="0.2">
      <c r="A21" s="513" t="s">
        <v>32</v>
      </c>
      <c r="B21" s="514"/>
      <c r="C21" s="515"/>
      <c r="D21" s="216"/>
      <c r="E21" s="217"/>
      <c r="F21" s="217"/>
      <c r="G21" s="217"/>
      <c r="H21" s="265"/>
    </row>
    <row r="22" spans="1:24" ht="15" hidden="1" x14ac:dyDescent="0.2">
      <c r="A22" s="244"/>
      <c r="B22" s="300"/>
      <c r="C22" s="245"/>
      <c r="D22" s="216"/>
      <c r="E22" s="217"/>
      <c r="F22" s="217"/>
      <c r="G22" s="217"/>
      <c r="H22" s="265"/>
    </row>
    <row r="23" spans="1:24" ht="15" hidden="1" x14ac:dyDescent="0.2">
      <c r="A23" s="513" t="s">
        <v>33</v>
      </c>
      <c r="B23" s="514"/>
      <c r="C23" s="515"/>
      <c r="D23" s="216"/>
      <c r="E23" s="217"/>
      <c r="F23" s="217"/>
      <c r="G23" s="217"/>
      <c r="H23" s="265"/>
    </row>
    <row r="24" spans="1:24" ht="15" hidden="1" x14ac:dyDescent="0.2">
      <c r="A24" s="246"/>
      <c r="B24" s="247"/>
      <c r="C24" s="248"/>
      <c r="D24" s="216"/>
      <c r="E24" s="217"/>
      <c r="F24" s="217"/>
      <c r="G24" s="217"/>
      <c r="H24" s="265"/>
    </row>
    <row r="25" spans="1:24" ht="15" customHeight="1" x14ac:dyDescent="0.2">
      <c r="A25" s="516" t="s">
        <v>21</v>
      </c>
      <c r="B25" s="514"/>
      <c r="C25" s="515"/>
      <c r="D25" s="218"/>
      <c r="E25" s="219"/>
      <c r="F25" s="219"/>
      <c r="G25" s="219"/>
      <c r="H25" s="266"/>
    </row>
    <row r="26" spans="1:24" ht="28.5" hidden="1" customHeight="1" x14ac:dyDescent="0.2">
      <c r="A26" s="237">
        <v>3</v>
      </c>
      <c r="B26" s="243" t="s">
        <v>34</v>
      </c>
      <c r="C26" s="169" t="s">
        <v>35</v>
      </c>
      <c r="D26" s="211"/>
      <c r="E26" s="212"/>
      <c r="F26" s="212"/>
      <c r="G26" s="212"/>
      <c r="H26" s="265">
        <f>SUM(D26:G26)</f>
        <v>0</v>
      </c>
    </row>
    <row r="27" spans="1:24" ht="28.5" hidden="1" customHeight="1" x14ac:dyDescent="0.25">
      <c r="A27" s="238">
        <v>6</v>
      </c>
      <c r="B27" s="239" t="s">
        <v>43</v>
      </c>
      <c r="C27" s="240" t="s">
        <v>44</v>
      </c>
      <c r="D27" s="211"/>
      <c r="E27" s="212"/>
      <c r="F27" s="212"/>
      <c r="G27" s="212"/>
      <c r="H27" s="265">
        <f>SUM(D27:G27)</f>
        <v>0</v>
      </c>
    </row>
    <row r="28" spans="1:24" ht="35.25" customHeight="1" x14ac:dyDescent="0.2">
      <c r="A28" s="238">
        <v>4</v>
      </c>
      <c r="B28" s="396" t="s">
        <v>59</v>
      </c>
      <c r="C28" s="388" t="s">
        <v>60</v>
      </c>
      <c r="D28" s="211">
        <f>SUM((D13+D20)*2.64%)</f>
        <v>17.10218004</v>
      </c>
      <c r="E28" s="212">
        <f>SUM((E13+E20)*2.64%)</f>
        <v>0</v>
      </c>
      <c r="F28" s="212"/>
      <c r="G28" s="212"/>
      <c r="H28" s="265">
        <f>SUM(D28:G28)</f>
        <v>17.10218004</v>
      </c>
    </row>
    <row r="29" spans="1:24" ht="22.5" customHeight="1" x14ac:dyDescent="0.2">
      <c r="A29" s="238"/>
      <c r="B29" s="250"/>
      <c r="C29" s="390" t="s">
        <v>22</v>
      </c>
      <c r="D29" s="214">
        <f>SUM(D27:D28)</f>
        <v>17.10218004</v>
      </c>
      <c r="E29" s="215">
        <f>SUM(E27:E28)</f>
        <v>0</v>
      </c>
      <c r="F29" s="215"/>
      <c r="G29" s="215"/>
      <c r="H29" s="264">
        <f>SUM(D29:G29)</f>
        <v>17.10218004</v>
      </c>
      <c r="I29" s="159"/>
      <c r="J29" s="159"/>
      <c r="K29" s="159"/>
      <c r="L29" s="159"/>
      <c r="M29" s="159"/>
      <c r="N29" s="159"/>
      <c r="O29" s="159"/>
      <c r="P29" s="159"/>
      <c r="Q29" s="159"/>
      <c r="R29" s="159"/>
      <c r="S29" s="159"/>
      <c r="T29" s="159"/>
      <c r="U29" s="159"/>
      <c r="V29" s="159"/>
      <c r="W29" s="159"/>
      <c r="X29" s="159"/>
    </row>
    <row r="30" spans="1:24" ht="15.75" customHeight="1" x14ac:dyDescent="0.2">
      <c r="A30" s="506" t="s">
        <v>9</v>
      </c>
      <c r="B30" s="507"/>
      <c r="C30" s="508"/>
      <c r="D30" s="218"/>
      <c r="E30" s="219"/>
      <c r="F30" s="219"/>
      <c r="G30" s="219"/>
      <c r="H30" s="266"/>
      <c r="I30" s="159"/>
      <c r="J30" s="159"/>
      <c r="K30" s="159"/>
      <c r="L30" s="159"/>
      <c r="M30" s="159"/>
      <c r="N30" s="159"/>
      <c r="O30" s="159"/>
      <c r="P30" s="159"/>
      <c r="Q30" s="159"/>
      <c r="R30" s="159"/>
      <c r="S30" s="159"/>
      <c r="T30" s="159"/>
      <c r="U30" s="159"/>
      <c r="V30" s="159"/>
      <c r="W30" s="159"/>
      <c r="X30" s="159"/>
    </row>
    <row r="31" spans="1:24" ht="29.25" customHeight="1" x14ac:dyDescent="0.2">
      <c r="A31" s="252">
        <v>4</v>
      </c>
      <c r="B31" s="394" t="s">
        <v>52</v>
      </c>
      <c r="C31" s="391" t="s">
        <v>62</v>
      </c>
      <c r="D31" s="216">
        <f>SUM((D13+D20+D29)*1.43%)</f>
        <v>9.5082420295719992</v>
      </c>
      <c r="E31" s="217">
        <f>SUM((E13+E20+E29)*1.43%)</f>
        <v>0</v>
      </c>
      <c r="F31" s="217"/>
      <c r="G31" s="217"/>
      <c r="H31" s="265">
        <f t="shared" ref="H31:H36" si="0">SUM(D31:G31)</f>
        <v>9.5082420295719992</v>
      </c>
      <c r="I31" s="159"/>
      <c r="J31" s="159"/>
      <c r="K31" s="159"/>
      <c r="L31" s="159"/>
      <c r="M31" s="159"/>
      <c r="N31" s="159"/>
      <c r="O31" s="159"/>
      <c r="P31" s="159"/>
      <c r="Q31" s="159"/>
      <c r="R31" s="159"/>
      <c r="S31" s="159"/>
      <c r="T31" s="159"/>
      <c r="U31" s="159"/>
      <c r="V31" s="159"/>
      <c r="W31" s="159"/>
      <c r="X31" s="159"/>
    </row>
    <row r="32" spans="1:24" ht="44.25" customHeight="1" x14ac:dyDescent="0.2">
      <c r="A32" s="253">
        <v>5</v>
      </c>
      <c r="B32" s="314" t="s">
        <v>63</v>
      </c>
      <c r="C32" s="392" t="s">
        <v>64</v>
      </c>
      <c r="D32" s="216"/>
      <c r="E32" s="217"/>
      <c r="F32" s="217"/>
      <c r="G32" s="217">
        <v>0</v>
      </c>
      <c r="H32" s="265">
        <f t="shared" si="0"/>
        <v>0</v>
      </c>
      <c r="I32" s="159"/>
      <c r="J32" s="159"/>
      <c r="K32" s="159"/>
      <c r="L32" s="159"/>
      <c r="M32" s="159"/>
      <c r="N32" s="159"/>
      <c r="O32" s="159"/>
      <c r="P32" s="159"/>
      <c r="Q32" s="159"/>
      <c r="R32" s="159"/>
      <c r="S32" s="159"/>
      <c r="T32" s="159"/>
      <c r="U32" s="159"/>
      <c r="V32" s="159"/>
      <c r="W32" s="159"/>
      <c r="X32" s="159"/>
    </row>
    <row r="33" spans="1:33" ht="36" customHeight="1" x14ac:dyDescent="0.2">
      <c r="A33" s="253"/>
      <c r="B33" s="395" t="s">
        <v>65</v>
      </c>
      <c r="C33" s="393" t="s">
        <v>66</v>
      </c>
      <c r="D33" s="216"/>
      <c r="E33" s="217"/>
      <c r="F33" s="217"/>
      <c r="G33" s="217">
        <f>'от ССР_Форма 1'!L24</f>
        <v>5.8319999999999999</v>
      </c>
      <c r="H33" s="265">
        <f t="shared" si="0"/>
        <v>5.8319999999999999</v>
      </c>
      <c r="I33" s="159"/>
      <c r="J33" s="159"/>
      <c r="K33" s="159"/>
      <c r="L33" s="159"/>
      <c r="M33" s="159"/>
      <c r="N33" s="159"/>
      <c r="O33" s="159"/>
      <c r="P33" s="159"/>
      <c r="Q33" s="159"/>
      <c r="R33" s="159"/>
      <c r="S33" s="159"/>
      <c r="T33" s="159"/>
      <c r="U33" s="159"/>
      <c r="V33" s="159"/>
      <c r="W33" s="159"/>
      <c r="X33" s="159"/>
    </row>
    <row r="34" spans="1:33" ht="15" x14ac:dyDescent="0.2">
      <c r="A34" s="253"/>
      <c r="B34" s="254"/>
      <c r="C34" s="251" t="s">
        <v>10</v>
      </c>
      <c r="D34" s="216">
        <f>SUM(D31:D33)</f>
        <v>9.5082420295719992</v>
      </c>
      <c r="E34" s="217">
        <f>SUM(E31:E33)</f>
        <v>0</v>
      </c>
      <c r="F34" s="217">
        <f>SUM(F31:F33)</f>
        <v>0</v>
      </c>
      <c r="G34" s="217">
        <f>SUM(G31:G33)</f>
        <v>5.8319999999999999</v>
      </c>
      <c r="H34" s="265">
        <f t="shared" si="0"/>
        <v>15.340242029572</v>
      </c>
      <c r="I34" s="159"/>
      <c r="J34" s="286"/>
      <c r="K34" s="159"/>
      <c r="L34" s="159"/>
      <c r="M34" s="159"/>
      <c r="N34" s="159"/>
      <c r="O34" s="159"/>
      <c r="P34" s="159"/>
      <c r="Q34" s="159"/>
      <c r="R34" s="159"/>
      <c r="S34" s="159"/>
      <c r="T34" s="159"/>
      <c r="U34" s="159"/>
      <c r="V34" s="159"/>
      <c r="W34" s="159"/>
      <c r="X34" s="159"/>
    </row>
    <row r="35" spans="1:33" ht="15" x14ac:dyDescent="0.2">
      <c r="A35" s="252"/>
      <c r="B35" s="250"/>
      <c r="C35" s="251" t="s">
        <v>4</v>
      </c>
      <c r="D35" s="220">
        <f>D20+D29+D34</f>
        <v>674.42027206957198</v>
      </c>
      <c r="E35" s="221">
        <f>E20+E29+E34</f>
        <v>0</v>
      </c>
      <c r="F35" s="221">
        <f>F20+F29+F34</f>
        <v>0</v>
      </c>
      <c r="G35" s="221">
        <f>G20+G29+G34</f>
        <v>5.8319999999999999</v>
      </c>
      <c r="H35" s="264">
        <f t="shared" si="0"/>
        <v>680.25227206957197</v>
      </c>
      <c r="I35" s="159"/>
      <c r="J35" s="285"/>
      <c r="K35" s="159"/>
      <c r="L35" s="159"/>
      <c r="M35" s="159"/>
      <c r="N35" s="159"/>
      <c r="O35" s="159"/>
      <c r="P35" s="159"/>
      <c r="Q35" s="159"/>
      <c r="R35" s="159"/>
      <c r="S35" s="159"/>
      <c r="T35" s="159"/>
      <c r="U35" s="159"/>
      <c r="V35" s="159"/>
      <c r="W35" s="159"/>
      <c r="X35" s="159"/>
      <c r="Y35" s="159"/>
      <c r="Z35" s="159"/>
      <c r="AA35" s="159"/>
      <c r="AB35" s="159"/>
      <c r="AC35" s="159"/>
      <c r="AD35" s="159"/>
      <c r="AE35" s="159"/>
      <c r="AF35" s="159"/>
      <c r="AG35" s="159"/>
    </row>
    <row r="36" spans="1:33" s="159" customFormat="1" ht="30.75" customHeight="1" x14ac:dyDescent="0.2">
      <c r="A36" s="252">
        <v>7</v>
      </c>
      <c r="B36" s="239" t="s">
        <v>42</v>
      </c>
      <c r="C36" s="402" t="s">
        <v>53</v>
      </c>
      <c r="D36" s="216">
        <f>D35*1.5%</f>
        <v>10.116304081043578</v>
      </c>
      <c r="E36" s="217">
        <f>E35*1.5%</f>
        <v>0</v>
      </c>
      <c r="F36" s="217">
        <f>F35*1.5%</f>
        <v>0</v>
      </c>
      <c r="G36" s="217">
        <f>G35*1.5%</f>
        <v>8.7479999999999988E-2</v>
      </c>
      <c r="H36" s="222">
        <f t="shared" si="0"/>
        <v>10.203784081043578</v>
      </c>
    </row>
    <row r="37" spans="1:33" s="159" customFormat="1" ht="30.75" customHeight="1" x14ac:dyDescent="0.2">
      <c r="A37" s="252"/>
      <c r="B37" s="255"/>
      <c r="C37" s="256" t="s">
        <v>5</v>
      </c>
      <c r="D37" s="220">
        <f>ROUNDUP(D35+D36,5)</f>
        <v>684.53657999999996</v>
      </c>
      <c r="E37" s="221">
        <f>E35+E36</f>
        <v>0</v>
      </c>
      <c r="F37" s="221">
        <f>F35+F36</f>
        <v>0</v>
      </c>
      <c r="G37" s="221">
        <f>G35+G36</f>
        <v>5.9194800000000001</v>
      </c>
      <c r="H37" s="223">
        <f>ROUNDDOWN(SUM(D37:G37),5)</f>
        <v>690.45605999999998</v>
      </c>
      <c r="I37" s="177"/>
    </row>
    <row r="38" spans="1:33" ht="15" x14ac:dyDescent="0.25">
      <c r="A38" s="257"/>
      <c r="B38" s="258"/>
      <c r="C38" s="170" t="s">
        <v>142</v>
      </c>
      <c r="D38" s="224"/>
      <c r="E38" s="225"/>
      <c r="F38" s="225"/>
      <c r="G38" s="225"/>
      <c r="H38" s="226"/>
      <c r="I38" s="159"/>
      <c r="J38" s="159"/>
      <c r="K38" s="159"/>
      <c r="L38" s="159"/>
      <c r="M38" s="159"/>
      <c r="N38" s="159"/>
      <c r="O38" s="159"/>
      <c r="P38" s="159"/>
      <c r="Q38" s="159"/>
      <c r="R38" s="159"/>
      <c r="S38" s="159"/>
      <c r="T38" s="159"/>
      <c r="U38" s="159"/>
      <c r="V38" s="159"/>
      <c r="W38" s="159"/>
      <c r="X38" s="159"/>
      <c r="Y38" s="159"/>
      <c r="Z38" s="159"/>
      <c r="AA38" s="159"/>
      <c r="AB38" s="159"/>
      <c r="AC38" s="159"/>
      <c r="AD38" s="159"/>
      <c r="AE38" s="159"/>
      <c r="AF38" s="159"/>
      <c r="AG38" s="159"/>
    </row>
    <row r="39" spans="1:33" ht="15" x14ac:dyDescent="0.2">
      <c r="A39" s="257"/>
      <c r="B39" s="258"/>
      <c r="C39" s="182" t="s">
        <v>143</v>
      </c>
      <c r="D39" s="227">
        <v>5.5</v>
      </c>
      <c r="E39" s="228">
        <v>5.5</v>
      </c>
      <c r="F39" s="228">
        <v>4.71</v>
      </c>
      <c r="G39" s="228">
        <v>9.3000000000000007</v>
      </c>
      <c r="H39" s="226"/>
      <c r="I39" s="159"/>
      <c r="J39" s="159"/>
      <c r="K39" s="159"/>
      <c r="L39" s="159"/>
      <c r="M39" s="159"/>
      <c r="N39" s="159"/>
      <c r="O39" s="159"/>
      <c r="P39" s="159"/>
      <c r="Q39" s="159"/>
      <c r="R39" s="159"/>
      <c r="S39" s="159"/>
      <c r="T39" s="159"/>
      <c r="U39" s="159"/>
      <c r="V39" s="159"/>
      <c r="W39" s="159"/>
      <c r="X39" s="159"/>
      <c r="Y39" s="159"/>
      <c r="Z39" s="159"/>
      <c r="AA39" s="159"/>
      <c r="AB39" s="159"/>
      <c r="AC39" s="159"/>
      <c r="AD39" s="159"/>
      <c r="AE39" s="159"/>
      <c r="AF39" s="159"/>
      <c r="AG39" s="159"/>
    </row>
    <row r="40" spans="1:33" ht="15" x14ac:dyDescent="0.25">
      <c r="A40" s="257"/>
      <c r="B40" s="258"/>
      <c r="C40" s="170" t="s">
        <v>144</v>
      </c>
      <c r="D40" s="229">
        <f>SUM(D37*D39)</f>
        <v>3764.9511899999998</v>
      </c>
      <c r="E40" s="230">
        <f>SUM(E37*E39)</f>
        <v>0</v>
      </c>
      <c r="F40" s="230">
        <f>SUM(F37*F39)</f>
        <v>0</v>
      </c>
      <c r="G40" s="230">
        <f>SUM(G37*G39)</f>
        <v>55.051164000000007</v>
      </c>
      <c r="H40" s="231">
        <f>ROUNDDOWN(SUM(D40:G40),5)</f>
        <v>3820.0023500000002</v>
      </c>
      <c r="I40" s="159"/>
      <c r="J40" s="159"/>
      <c r="K40" s="159"/>
      <c r="L40" s="159"/>
      <c r="M40" s="159"/>
      <c r="N40" s="159"/>
      <c r="O40" s="159"/>
      <c r="P40" s="159"/>
      <c r="Q40" s="159"/>
      <c r="R40" s="159"/>
      <c r="S40" s="159"/>
      <c r="T40" s="159"/>
    </row>
    <row r="41" spans="1:33" ht="30" x14ac:dyDescent="0.25">
      <c r="A41" s="257"/>
      <c r="B41" s="259" t="s">
        <v>16</v>
      </c>
      <c r="C41" s="171" t="s">
        <v>145</v>
      </c>
      <c r="D41" s="176">
        <f>1.036*1.037*1.037*1.038</f>
        <v>1.1564174107919998</v>
      </c>
      <c r="E41" s="160">
        <f>D41</f>
        <v>1.1564174107919998</v>
      </c>
      <c r="F41" s="160">
        <f>D41</f>
        <v>1.1564174107919998</v>
      </c>
      <c r="G41" s="160">
        <f>D41</f>
        <v>1.1564174107919998</v>
      </c>
      <c r="H41" s="223"/>
      <c r="I41" s="159"/>
      <c r="J41" s="159"/>
      <c r="K41" s="159"/>
      <c r="L41" s="159"/>
      <c r="M41" s="159"/>
      <c r="N41" s="159"/>
      <c r="O41" s="159"/>
      <c r="P41" s="159"/>
      <c r="Q41" s="159"/>
      <c r="R41" s="159"/>
      <c r="S41" s="159"/>
      <c r="T41" s="159"/>
    </row>
    <row r="42" spans="1:33" ht="15" x14ac:dyDescent="0.25">
      <c r="A42" s="257"/>
      <c r="B42" s="259"/>
      <c r="C42" s="170" t="s">
        <v>148</v>
      </c>
      <c r="D42" s="220">
        <f>D40*D41</f>
        <v>4353.8551068980578</v>
      </c>
      <c r="E42" s="221">
        <f>E40*E41</f>
        <v>0</v>
      </c>
      <c r="F42" s="221">
        <f>F40*F41</f>
        <v>0</v>
      </c>
      <c r="G42" s="221">
        <f>G40*G41</f>
        <v>63.662124533965759</v>
      </c>
      <c r="H42" s="223">
        <f>SUM(D42:G42)</f>
        <v>4417.5172314320234</v>
      </c>
      <c r="I42" s="168">
        <v>19.72</v>
      </c>
      <c r="J42" s="168">
        <f>H42/I42</f>
        <v>224.01202999148194</v>
      </c>
      <c r="K42" s="168"/>
    </row>
    <row r="43" spans="1:33" ht="15" x14ac:dyDescent="0.25">
      <c r="A43" s="257"/>
      <c r="B43" s="259"/>
      <c r="C43" s="171" t="s">
        <v>149</v>
      </c>
      <c r="D43" s="232"/>
      <c r="E43" s="233"/>
      <c r="F43" s="233"/>
      <c r="G43" s="233"/>
      <c r="H43" s="420">
        <f>3831791.29/1000</f>
        <v>3831.7912900000001</v>
      </c>
    </row>
    <row r="44" spans="1:33" ht="15" x14ac:dyDescent="0.25">
      <c r="A44" s="257"/>
      <c r="B44" s="259"/>
      <c r="C44" s="170" t="s">
        <v>148</v>
      </c>
      <c r="D44" s="220"/>
      <c r="E44" s="221"/>
      <c r="F44" s="221"/>
      <c r="G44" s="221"/>
      <c r="H44" s="223">
        <f>H42-H43</f>
        <v>585.72594143202332</v>
      </c>
    </row>
    <row r="45" spans="1:33" ht="15" x14ac:dyDescent="0.25">
      <c r="A45" s="257"/>
      <c r="B45" s="259"/>
      <c r="C45" s="170" t="s">
        <v>51</v>
      </c>
      <c r="D45" s="216">
        <f>D42*20%</f>
        <v>870.77102137961162</v>
      </c>
      <c r="E45" s="217">
        <f>E42*20%</f>
        <v>0</v>
      </c>
      <c r="F45" s="217">
        <f>F42*20%</f>
        <v>0</v>
      </c>
      <c r="G45" s="217">
        <f>G42*20%</f>
        <v>12.732424906793153</v>
      </c>
      <c r="H45" s="222">
        <f>SUM(D45:G45)</f>
        <v>883.50344628640482</v>
      </c>
      <c r="J45" s="168"/>
    </row>
    <row r="46" spans="1:33" ht="30.75" thickBot="1" x14ac:dyDescent="0.3">
      <c r="A46" s="260"/>
      <c r="B46" s="261"/>
      <c r="C46" s="172" t="s">
        <v>36</v>
      </c>
      <c r="D46" s="234">
        <f>D42+D45</f>
        <v>5224.6261282776695</v>
      </c>
      <c r="E46" s="235">
        <f>E42+E45</f>
        <v>0</v>
      </c>
      <c r="F46" s="235">
        <f>F42+F45</f>
        <v>0</v>
      </c>
      <c r="G46" s="235">
        <f>G42+G45</f>
        <v>76.394549440758908</v>
      </c>
      <c r="H46" s="236">
        <f>SUM(D46:G46)</f>
        <v>5301.0206777184285</v>
      </c>
    </row>
    <row r="47" spans="1:33" x14ac:dyDescent="0.2">
      <c r="A47" s="180" t="s">
        <v>16</v>
      </c>
      <c r="B47" s="161" t="s">
        <v>16</v>
      </c>
      <c r="C47" s="162" t="s">
        <v>37</v>
      </c>
      <c r="D47" s="509" t="s">
        <v>16</v>
      </c>
      <c r="E47" s="510"/>
      <c r="F47" s="511" t="s">
        <v>16</v>
      </c>
      <c r="G47" s="512"/>
      <c r="H47" s="512"/>
    </row>
    <row r="48" spans="1:33" ht="15" customHeight="1" x14ac:dyDescent="0.2">
      <c r="A48" s="180"/>
      <c r="B48" s="163" t="s">
        <v>23</v>
      </c>
      <c r="C48" s="164"/>
      <c r="D48" s="109"/>
      <c r="E48" s="105"/>
      <c r="F48" s="105"/>
      <c r="G48" s="105"/>
      <c r="H48" s="105"/>
    </row>
    <row r="49" spans="1:9" ht="21" customHeight="1" x14ac:dyDescent="0.2">
      <c r="A49" s="181"/>
      <c r="B49" s="109" t="s">
        <v>48</v>
      </c>
      <c r="C49" s="109"/>
      <c r="D49" s="109"/>
    </row>
    <row r="50" spans="1:9" ht="15.75" customHeight="1" x14ac:dyDescent="0.2">
      <c r="A50" s="181"/>
      <c r="B50" s="110"/>
      <c r="C50" s="111"/>
      <c r="D50" s="111"/>
    </row>
    <row r="51" spans="1:9" ht="15" x14ac:dyDescent="0.2">
      <c r="B51" s="104"/>
      <c r="C51" s="105"/>
      <c r="D51" s="105"/>
      <c r="E51" s="105"/>
      <c r="F51" s="105"/>
      <c r="G51" s="105"/>
      <c r="H51" s="105"/>
    </row>
    <row r="52" spans="1:9" ht="15" customHeight="1" x14ac:dyDescent="0.2">
      <c r="B52" s="494" t="s">
        <v>150</v>
      </c>
      <c r="C52" s="494"/>
      <c r="D52" s="494"/>
      <c r="E52" s="494"/>
      <c r="F52" s="494"/>
      <c r="G52" s="494"/>
      <c r="H52" s="494"/>
      <c r="I52" s="494"/>
    </row>
    <row r="53" spans="1:9" ht="15" x14ac:dyDescent="0.2">
      <c r="B53" s="12"/>
      <c r="C53" s="106"/>
      <c r="D53" s="106"/>
      <c r="E53" s="106"/>
      <c r="F53" s="106"/>
      <c r="G53" s="106"/>
      <c r="H53" s="106"/>
      <c r="I53" s="106"/>
    </row>
    <row r="54" spans="1:9" ht="15" customHeight="1" x14ac:dyDescent="0.2">
      <c r="B54" s="494" t="s">
        <v>41</v>
      </c>
      <c r="C54" s="494"/>
      <c r="D54" s="494"/>
      <c r="E54" s="494"/>
      <c r="F54" s="494"/>
      <c r="G54" s="494"/>
      <c r="H54" s="494"/>
      <c r="I54" s="494"/>
    </row>
    <row r="55" spans="1:9" ht="15.75" x14ac:dyDescent="0.25">
      <c r="B55" s="107"/>
      <c r="C55" s="108"/>
      <c r="D55" s="108"/>
      <c r="E55" s="108"/>
      <c r="F55" s="109"/>
      <c r="H55" s="109"/>
    </row>
  </sheetData>
  <mergeCells count="18">
    <mergeCell ref="A30:C30"/>
    <mergeCell ref="D47:E47"/>
    <mergeCell ref="F47:H47"/>
    <mergeCell ref="B52:I52"/>
    <mergeCell ref="B54:I54"/>
    <mergeCell ref="A12:C12"/>
    <mergeCell ref="A14:C14"/>
    <mergeCell ref="A21:C21"/>
    <mergeCell ref="A23:C23"/>
    <mergeCell ref="A25:C25"/>
    <mergeCell ref="D2:H4"/>
    <mergeCell ref="A6:H6"/>
    <mergeCell ref="A8:H8"/>
    <mergeCell ref="A9:A10"/>
    <mergeCell ref="B9:B10"/>
    <mergeCell ref="C9:C10"/>
    <mergeCell ref="D9:G9"/>
    <mergeCell ref="H9:H10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ССР 2000</vt:lpstr>
      <vt:lpstr>ССР в т.ц.</vt:lpstr>
      <vt:lpstr>от ССР_Форма 1</vt:lpstr>
      <vt:lpstr>НМЦ лота СМР </vt:lpstr>
      <vt:lpstr>'НМЦ лота СМР '!Область_печати</vt:lpstr>
      <vt:lpstr>'от ССР_Форма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2020-02-25T13:31:47Z</dcterms:modified>
</cp:coreProperties>
</file>